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25" windowHeight="9120" tabRatio="910" activeTab="0"/>
  </bookViews>
  <sheets>
    <sheet name="GB 1AB" sheetId="1" r:id="rId1"/>
    <sheet name="GB 1BC" sheetId="2" r:id="rId2"/>
    <sheet name="FORMAT" sheetId="3" r:id="rId3"/>
  </sheets>
  <definedNames/>
  <calcPr fullCalcOnLoad="1"/>
</workbook>
</file>

<file path=xl/sharedStrings.xml><?xml version="1.0" encoding="utf-8"?>
<sst xmlns="http://schemas.openxmlformats.org/spreadsheetml/2006/main" count="222" uniqueCount="52">
  <si>
    <t>m</t>
  </si>
  <si>
    <t>Negative Moment</t>
  </si>
  <si>
    <t>Posetive Moment</t>
  </si>
  <si>
    <t>Shear</t>
  </si>
  <si>
    <t>kn-m</t>
  </si>
  <si>
    <t>kn</t>
  </si>
  <si>
    <t>d   =</t>
  </si>
  <si>
    <t>Calculate Reinforcement</t>
  </si>
  <si>
    <t>Concrete - Grade C-25</t>
  </si>
  <si>
    <t>Fck</t>
  </si>
  <si>
    <t>kpa</t>
  </si>
  <si>
    <t>[EBCS 2 Table 2.3]</t>
  </si>
  <si>
    <t>Fctk</t>
  </si>
  <si>
    <t>[EBCS 2 Table 2.4]</t>
  </si>
  <si>
    <t>PS Factor</t>
  </si>
  <si>
    <t>[EBCS 2 Table 3.1]</t>
  </si>
  <si>
    <t>Fcd</t>
  </si>
  <si>
    <t>Fctd</t>
  </si>
  <si>
    <t>Ecm</t>
  </si>
  <si>
    <t>[EBCS 2 Table 2.5]</t>
  </si>
  <si>
    <t>Steel</t>
  </si>
  <si>
    <t>Fyk</t>
  </si>
  <si>
    <t>Fyd</t>
  </si>
  <si>
    <t>Es</t>
  </si>
  <si>
    <t>m    =</t>
  </si>
  <si>
    <t>Rn    =</t>
  </si>
  <si>
    <t>r         =</t>
  </si>
  <si>
    <t>PS</t>
  </si>
  <si>
    <t>As    =</t>
  </si>
  <si>
    <t>Posetive Reinforcement</t>
  </si>
  <si>
    <t>Shear Capacity of Concrete</t>
  </si>
  <si>
    <t>Design Shear Reinforcement</t>
  </si>
  <si>
    <t xml:space="preserve">s   = </t>
  </si>
  <si>
    <t>Use</t>
  </si>
  <si>
    <t>f   =</t>
  </si>
  <si>
    <t>No =</t>
  </si>
  <si>
    <t>As prvd   =</t>
  </si>
  <si>
    <t>r        =</t>
  </si>
  <si>
    <t>Capacity  =</t>
  </si>
  <si>
    <t>Reserve  =</t>
  </si>
  <si>
    <t>Max S  =</t>
  </si>
  <si>
    <t>Use Dia</t>
  </si>
  <si>
    <t xml:space="preserve">First Floor Beam - FFB1S1 </t>
  </si>
  <si>
    <r>
      <t xml:space="preserve">r </t>
    </r>
    <r>
      <rPr>
        <sz val="10"/>
        <color indexed="12"/>
        <rFont val="Arial"/>
        <family val="2"/>
      </rPr>
      <t>(min)</t>
    </r>
    <r>
      <rPr>
        <sz val="10"/>
        <color indexed="12"/>
        <rFont val="Symbol"/>
        <family val="1"/>
      </rPr>
      <t xml:space="preserve">  =</t>
    </r>
  </si>
  <si>
    <r>
      <t>r</t>
    </r>
    <r>
      <rPr>
        <sz val="10"/>
        <color indexed="12"/>
        <rFont val="Arial"/>
        <family val="0"/>
      </rPr>
      <t xml:space="preserve"> (max)  =</t>
    </r>
  </si>
  <si>
    <r>
      <t>V</t>
    </r>
    <r>
      <rPr>
        <b/>
        <i/>
        <vertAlign val="subscript"/>
        <sz val="12"/>
        <color indexed="12"/>
        <rFont val="Times New Roman"/>
        <family val="1"/>
      </rPr>
      <t>s</t>
    </r>
    <r>
      <rPr>
        <b/>
        <i/>
        <sz val="12"/>
        <color indexed="12"/>
        <rFont val="Times New Roman"/>
        <family val="1"/>
      </rPr>
      <t xml:space="preserve"> = </t>
    </r>
  </si>
  <si>
    <r>
      <t>k</t>
    </r>
    <r>
      <rPr>
        <i/>
        <vertAlign val="subscript"/>
        <sz val="12"/>
        <color indexed="12"/>
        <rFont val="Times New Roman"/>
        <family val="1"/>
      </rPr>
      <t>1</t>
    </r>
    <r>
      <rPr>
        <i/>
        <sz val="12"/>
        <color indexed="12"/>
        <rFont val="Times New Roman"/>
        <family val="1"/>
      </rPr>
      <t xml:space="preserve"> = </t>
    </r>
  </si>
  <si>
    <r>
      <t>k</t>
    </r>
    <r>
      <rPr>
        <i/>
        <vertAlign val="subscript"/>
        <sz val="12"/>
        <color indexed="12"/>
        <rFont val="Times New Roman"/>
        <family val="1"/>
      </rPr>
      <t>2</t>
    </r>
    <r>
      <rPr>
        <i/>
        <sz val="12"/>
        <color indexed="12"/>
        <rFont val="Times New Roman"/>
        <family val="1"/>
      </rPr>
      <t xml:space="preserve"> = </t>
    </r>
  </si>
  <si>
    <r>
      <t>A</t>
    </r>
    <r>
      <rPr>
        <b/>
        <i/>
        <vertAlign val="subscript"/>
        <sz val="12"/>
        <color indexed="12"/>
        <rFont val="Times New Roman"/>
        <family val="1"/>
      </rPr>
      <t>v</t>
    </r>
    <r>
      <rPr>
        <b/>
        <i/>
        <sz val="12"/>
        <color indexed="12"/>
        <rFont val="Times New Roman"/>
        <family val="1"/>
      </rPr>
      <t xml:space="preserve"> = </t>
    </r>
  </si>
  <si>
    <r>
      <t>V</t>
    </r>
    <r>
      <rPr>
        <b/>
        <i/>
        <vertAlign val="subscript"/>
        <sz val="12"/>
        <color indexed="12"/>
        <rFont val="Times New Roman"/>
        <family val="1"/>
      </rPr>
      <t>c</t>
    </r>
    <r>
      <rPr>
        <b/>
        <i/>
        <sz val="12"/>
        <color indexed="12"/>
        <rFont val="Times New Roman"/>
        <family val="1"/>
      </rPr>
      <t xml:space="preserve"> = </t>
    </r>
  </si>
  <si>
    <t>Negative Reinforcement</t>
  </si>
  <si>
    <t xml:space="preserve">Beam on Axis 1 - AB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</si>
</sst>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_(* #,##0_);_(* \(#,##0\);_(* &quot;-&quot;??_);_(@_)"/>
    <numFmt numFmtId="171" formatCode="0.00000000"/>
    <numFmt numFmtId="172" formatCode="_(* #,##0.000_);_(* \(#,##0.000\);_(* &quot;-&quot;???_);_(@_)"/>
    <numFmt numFmtId="173" formatCode="_(* #,##0.0_);_(* \(#,##0.0\);_(* &quot;-&quot;??_);_(@_)"/>
    <numFmt numFmtId="174" formatCode="0.0%"/>
    <numFmt numFmtId="175" formatCode="0.000%"/>
  </numFmts>
  <fonts count="12">
    <font>
      <sz val="10"/>
      <name val="Arial"/>
      <family val="0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Symbol"/>
      <family val="1"/>
    </font>
    <font>
      <i/>
      <sz val="10"/>
      <color indexed="12"/>
      <name val="Arial"/>
      <family val="2"/>
    </font>
    <font>
      <b/>
      <sz val="10"/>
      <color indexed="12"/>
      <name val="Symbol"/>
      <family val="1"/>
    </font>
    <font>
      <b/>
      <i/>
      <sz val="12"/>
      <color indexed="12"/>
      <name val="Times New Roman"/>
      <family val="1"/>
    </font>
    <font>
      <b/>
      <i/>
      <vertAlign val="subscript"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vertAlign val="subscript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hair">
        <color indexed="10"/>
      </bottom>
    </border>
    <border>
      <left style="medium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hair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43" fontId="1" fillId="2" borderId="0" xfId="0" applyNumberFormat="1" applyFont="1" applyFill="1" applyAlignment="1">
      <alignment/>
    </xf>
    <xf numFmtId="0" fontId="5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2" fontId="1" fillId="2" borderId="0" xfId="19" applyNumberFormat="1" applyFont="1" applyFill="1" applyAlignment="1">
      <alignment/>
    </xf>
    <xf numFmtId="10" fontId="1" fillId="2" borderId="0" xfId="19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39" fontId="1" fillId="2" borderId="0" xfId="0" applyNumberFormat="1" applyFont="1" applyFill="1" applyAlignment="1">
      <alignment/>
    </xf>
    <xf numFmtId="0" fontId="10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/>
    </xf>
    <xf numFmtId="39" fontId="3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/>
    </xf>
    <xf numFmtId="166" fontId="3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1"/>
    </xf>
    <xf numFmtId="3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0" fontId="1" fillId="2" borderId="10" xfId="15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70" fontId="1" fillId="2" borderId="1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left" indent="1"/>
    </xf>
    <xf numFmtId="170" fontId="1" fillId="2" borderId="13" xfId="15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2"/>
    </xf>
    <xf numFmtId="0" fontId="1" fillId="2" borderId="9" xfId="0" applyFont="1" applyFill="1" applyBorder="1" applyAlignment="1">
      <alignment horizontal="left" indent="2"/>
    </xf>
    <xf numFmtId="0" fontId="5" fillId="2" borderId="9" xfId="0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1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7</xdr:row>
      <xdr:rowOff>123825</xdr:rowOff>
    </xdr:from>
    <xdr:to>
      <xdr:col>2</xdr:col>
      <xdr:colOff>609600</xdr:colOff>
      <xdr:row>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981200" y="1333500"/>
          <a:ext cx="1333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114300</xdr:rowOff>
    </xdr:from>
    <xdr:to>
      <xdr:col>2</xdr:col>
      <xdr:colOff>628650</xdr:colOff>
      <xdr:row>11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971675" y="1971675"/>
          <a:ext cx="161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38100</xdr:rowOff>
    </xdr:from>
    <xdr:to>
      <xdr:col>1</xdr:col>
      <xdr:colOff>514350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>
          <a:off x="1323975" y="205740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57150</xdr:rowOff>
    </xdr:from>
    <xdr:to>
      <xdr:col>2</xdr:col>
      <xdr:colOff>371475</xdr:colOff>
      <xdr:row>13</xdr:row>
      <xdr:rowOff>57150</xdr:rowOff>
    </xdr:to>
    <xdr:sp>
      <xdr:nvSpPr>
        <xdr:cNvPr id="4" name="Line 5"/>
        <xdr:cNvSpPr>
          <a:spLocks/>
        </xdr:cNvSpPr>
      </xdr:nvSpPr>
      <xdr:spPr>
        <a:xfrm>
          <a:off x="1876425" y="207645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2</xdr:col>
      <xdr:colOff>457200</xdr:colOff>
      <xdr:row>12</xdr:row>
      <xdr:rowOff>104775</xdr:rowOff>
    </xdr:to>
    <xdr:sp>
      <xdr:nvSpPr>
        <xdr:cNvPr id="5" name="Line 6"/>
        <xdr:cNvSpPr>
          <a:spLocks/>
        </xdr:cNvSpPr>
      </xdr:nvSpPr>
      <xdr:spPr>
        <a:xfrm>
          <a:off x="1266825" y="2124075"/>
          <a:ext cx="6953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47625</xdr:rowOff>
    </xdr:from>
    <xdr:to>
      <xdr:col>2</xdr:col>
      <xdr:colOff>542925</xdr:colOff>
      <xdr:row>12</xdr:row>
      <xdr:rowOff>57150</xdr:rowOff>
    </xdr:to>
    <xdr:sp>
      <xdr:nvSpPr>
        <xdr:cNvPr id="6" name="Line 7"/>
        <xdr:cNvSpPr>
          <a:spLocks/>
        </xdr:cNvSpPr>
      </xdr:nvSpPr>
      <xdr:spPr>
        <a:xfrm>
          <a:off x="2047875" y="1257300"/>
          <a:ext cx="0" cy="8191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47625</xdr:rowOff>
    </xdr:from>
    <xdr:to>
      <xdr:col>1</xdr:col>
      <xdr:colOff>561975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266825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47625</xdr:rowOff>
    </xdr:from>
    <xdr:to>
      <xdr:col>2</xdr:col>
      <xdr:colOff>428625</xdr:colOff>
      <xdr:row>13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1828800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7</xdr:row>
      <xdr:rowOff>66675</xdr:rowOff>
    </xdr:from>
    <xdr:to>
      <xdr:col>2</xdr:col>
      <xdr:colOff>590550</xdr:colOff>
      <xdr:row>8</xdr:row>
      <xdr:rowOff>19050</xdr:rowOff>
    </xdr:to>
    <xdr:sp>
      <xdr:nvSpPr>
        <xdr:cNvPr id="9" name="Line 10"/>
        <xdr:cNvSpPr>
          <a:spLocks/>
        </xdr:cNvSpPr>
      </xdr:nvSpPr>
      <xdr:spPr>
        <a:xfrm flipV="1">
          <a:off x="1990725" y="127635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47625</xdr:rowOff>
    </xdr:from>
    <xdr:to>
      <xdr:col>2</xdr:col>
      <xdr:colOff>600075</xdr:colOff>
      <xdr:row>12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2000250" y="190500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104775</xdr:rowOff>
    </xdr:from>
    <xdr:to>
      <xdr:col>2</xdr:col>
      <xdr:colOff>381000</xdr:colOff>
      <xdr:row>11</xdr:row>
      <xdr:rowOff>123825</xdr:rowOff>
    </xdr:to>
    <xdr:sp>
      <xdr:nvSpPr>
        <xdr:cNvPr id="11" name="Rectangle 18"/>
        <xdr:cNvSpPr>
          <a:spLocks/>
        </xdr:cNvSpPr>
      </xdr:nvSpPr>
      <xdr:spPr>
        <a:xfrm>
          <a:off x="1323975" y="1314450"/>
          <a:ext cx="561975" cy="666750"/>
        </a:xfrm>
        <a:prstGeom prst="rect">
          <a:avLst/>
        </a:prstGeom>
        <a:solidFill>
          <a:srgbClr val="CCEC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152400</xdr:rowOff>
    </xdr:from>
    <xdr:to>
      <xdr:col>2</xdr:col>
      <xdr:colOff>323850</xdr:colOff>
      <xdr:row>11</xdr:row>
      <xdr:rowOff>76200</xdr:rowOff>
    </xdr:to>
    <xdr:sp>
      <xdr:nvSpPr>
        <xdr:cNvPr id="12" name="Oval 24"/>
        <xdr:cNvSpPr>
          <a:spLocks/>
        </xdr:cNvSpPr>
      </xdr:nvSpPr>
      <xdr:spPr>
        <a:xfrm>
          <a:off x="1752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152400</xdr:rowOff>
    </xdr:from>
    <xdr:to>
      <xdr:col>2</xdr:col>
      <xdr:colOff>133350</xdr:colOff>
      <xdr:row>11</xdr:row>
      <xdr:rowOff>76200</xdr:rowOff>
    </xdr:to>
    <xdr:sp>
      <xdr:nvSpPr>
        <xdr:cNvPr id="13" name="Oval 25"/>
        <xdr:cNvSpPr>
          <a:spLocks/>
        </xdr:cNvSpPr>
      </xdr:nvSpPr>
      <xdr:spPr>
        <a:xfrm>
          <a:off x="15621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7</xdr:row>
      <xdr:rowOff>152400</xdr:rowOff>
    </xdr:from>
    <xdr:to>
      <xdr:col>1</xdr:col>
      <xdr:colOff>638175</xdr:colOff>
      <xdr:row>8</xdr:row>
      <xdr:rowOff>76200</xdr:rowOff>
    </xdr:to>
    <xdr:sp>
      <xdr:nvSpPr>
        <xdr:cNvPr id="14" name="Oval 26"/>
        <xdr:cNvSpPr>
          <a:spLocks/>
        </xdr:cNvSpPr>
      </xdr:nvSpPr>
      <xdr:spPr>
        <a:xfrm>
          <a:off x="1371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152400</xdr:rowOff>
    </xdr:from>
    <xdr:to>
      <xdr:col>2</xdr:col>
      <xdr:colOff>323850</xdr:colOff>
      <xdr:row>8</xdr:row>
      <xdr:rowOff>76200</xdr:rowOff>
    </xdr:to>
    <xdr:sp>
      <xdr:nvSpPr>
        <xdr:cNvPr id="15" name="Oval 27"/>
        <xdr:cNvSpPr>
          <a:spLocks/>
        </xdr:cNvSpPr>
      </xdr:nvSpPr>
      <xdr:spPr>
        <a:xfrm>
          <a:off x="1752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10</xdr:row>
      <xdr:rowOff>152400</xdr:rowOff>
    </xdr:from>
    <xdr:to>
      <xdr:col>1</xdr:col>
      <xdr:colOff>638175</xdr:colOff>
      <xdr:row>11</xdr:row>
      <xdr:rowOff>76200</xdr:rowOff>
    </xdr:to>
    <xdr:sp>
      <xdr:nvSpPr>
        <xdr:cNvPr id="16" name="Oval 28"/>
        <xdr:cNvSpPr>
          <a:spLocks/>
        </xdr:cNvSpPr>
      </xdr:nvSpPr>
      <xdr:spPr>
        <a:xfrm>
          <a:off x="1371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11</xdr:row>
      <xdr:rowOff>38100</xdr:rowOff>
    </xdr:to>
    <xdr:sp>
      <xdr:nvSpPr>
        <xdr:cNvPr id="17" name="Line 29"/>
        <xdr:cNvSpPr>
          <a:spLocks/>
        </xdr:cNvSpPr>
      </xdr:nvSpPr>
      <xdr:spPr>
        <a:xfrm flipV="1">
          <a:off x="13716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152400</xdr:rowOff>
    </xdr:from>
    <xdr:to>
      <xdr:col>2</xdr:col>
      <xdr:colOff>276225</xdr:colOff>
      <xdr:row>7</xdr:row>
      <xdr:rowOff>152400</xdr:rowOff>
    </xdr:to>
    <xdr:sp>
      <xdr:nvSpPr>
        <xdr:cNvPr id="18" name="Line 30"/>
        <xdr:cNvSpPr>
          <a:spLocks/>
        </xdr:cNvSpPr>
      </xdr:nvSpPr>
      <xdr:spPr>
        <a:xfrm>
          <a:off x="1409700" y="1362075"/>
          <a:ext cx="3714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28575</xdr:rowOff>
    </xdr:from>
    <xdr:to>
      <xdr:col>2</xdr:col>
      <xdr:colOff>323850</xdr:colOff>
      <xdr:row>11</xdr:row>
      <xdr:rowOff>38100</xdr:rowOff>
    </xdr:to>
    <xdr:sp>
      <xdr:nvSpPr>
        <xdr:cNvPr id="19" name="Line 31"/>
        <xdr:cNvSpPr>
          <a:spLocks/>
        </xdr:cNvSpPr>
      </xdr:nvSpPr>
      <xdr:spPr>
        <a:xfrm>
          <a:off x="18288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76200</xdr:rowOff>
    </xdr:from>
    <xdr:to>
      <xdr:col>2</xdr:col>
      <xdr:colOff>295275</xdr:colOff>
      <xdr:row>11</xdr:row>
      <xdr:rowOff>76200</xdr:rowOff>
    </xdr:to>
    <xdr:sp>
      <xdr:nvSpPr>
        <xdr:cNvPr id="20" name="Line 32"/>
        <xdr:cNvSpPr>
          <a:spLocks/>
        </xdr:cNvSpPr>
      </xdr:nvSpPr>
      <xdr:spPr>
        <a:xfrm>
          <a:off x="1390650" y="1933575"/>
          <a:ext cx="4095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7</xdr:row>
      <xdr:rowOff>123825</xdr:rowOff>
    </xdr:from>
    <xdr:to>
      <xdr:col>2</xdr:col>
      <xdr:colOff>609600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81200" y="1333500"/>
          <a:ext cx="1333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114300</xdr:rowOff>
    </xdr:from>
    <xdr:to>
      <xdr:col>2</xdr:col>
      <xdr:colOff>628650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71675" y="1971675"/>
          <a:ext cx="161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38100</xdr:rowOff>
    </xdr:from>
    <xdr:to>
      <xdr:col>1</xdr:col>
      <xdr:colOff>514350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>
          <a:off x="1323975" y="205740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57150</xdr:rowOff>
    </xdr:from>
    <xdr:to>
      <xdr:col>2</xdr:col>
      <xdr:colOff>371475</xdr:colOff>
      <xdr:row>13</xdr:row>
      <xdr:rowOff>57150</xdr:rowOff>
    </xdr:to>
    <xdr:sp>
      <xdr:nvSpPr>
        <xdr:cNvPr id="4" name="Line 4"/>
        <xdr:cNvSpPr>
          <a:spLocks/>
        </xdr:cNvSpPr>
      </xdr:nvSpPr>
      <xdr:spPr>
        <a:xfrm>
          <a:off x="1876425" y="207645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2</xdr:col>
      <xdr:colOff>457200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266825" y="2124075"/>
          <a:ext cx="6953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47625</xdr:rowOff>
    </xdr:from>
    <xdr:to>
      <xdr:col>2</xdr:col>
      <xdr:colOff>542925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>
          <a:off x="2047875" y="1257300"/>
          <a:ext cx="0" cy="8191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47625</xdr:rowOff>
    </xdr:from>
    <xdr:to>
      <xdr:col>1</xdr:col>
      <xdr:colOff>561975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66825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47625</xdr:rowOff>
    </xdr:from>
    <xdr:to>
      <xdr:col>2</xdr:col>
      <xdr:colOff>428625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828800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7</xdr:row>
      <xdr:rowOff>66675</xdr:rowOff>
    </xdr:from>
    <xdr:to>
      <xdr:col>2</xdr:col>
      <xdr:colOff>590550</xdr:colOff>
      <xdr:row>8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90725" y="127635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47625</xdr:rowOff>
    </xdr:from>
    <xdr:to>
      <xdr:col>2</xdr:col>
      <xdr:colOff>600075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000250" y="190500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104775</xdr:rowOff>
    </xdr:from>
    <xdr:to>
      <xdr:col>2</xdr:col>
      <xdr:colOff>381000</xdr:colOff>
      <xdr:row>11</xdr:row>
      <xdr:rowOff>123825</xdr:rowOff>
    </xdr:to>
    <xdr:sp>
      <xdr:nvSpPr>
        <xdr:cNvPr id="11" name="Rectangle 16"/>
        <xdr:cNvSpPr>
          <a:spLocks/>
        </xdr:cNvSpPr>
      </xdr:nvSpPr>
      <xdr:spPr>
        <a:xfrm>
          <a:off x="1323975" y="1314450"/>
          <a:ext cx="561975" cy="666750"/>
        </a:xfrm>
        <a:prstGeom prst="rect">
          <a:avLst/>
        </a:prstGeom>
        <a:solidFill>
          <a:srgbClr val="CCEC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152400</xdr:rowOff>
    </xdr:from>
    <xdr:to>
      <xdr:col>2</xdr:col>
      <xdr:colOff>323850</xdr:colOff>
      <xdr:row>11</xdr:row>
      <xdr:rowOff>76200</xdr:rowOff>
    </xdr:to>
    <xdr:sp>
      <xdr:nvSpPr>
        <xdr:cNvPr id="12" name="Oval 22"/>
        <xdr:cNvSpPr>
          <a:spLocks/>
        </xdr:cNvSpPr>
      </xdr:nvSpPr>
      <xdr:spPr>
        <a:xfrm>
          <a:off x="1752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152400</xdr:rowOff>
    </xdr:from>
    <xdr:to>
      <xdr:col>2</xdr:col>
      <xdr:colOff>133350</xdr:colOff>
      <xdr:row>11</xdr:row>
      <xdr:rowOff>76200</xdr:rowOff>
    </xdr:to>
    <xdr:sp>
      <xdr:nvSpPr>
        <xdr:cNvPr id="13" name="Oval 23"/>
        <xdr:cNvSpPr>
          <a:spLocks/>
        </xdr:cNvSpPr>
      </xdr:nvSpPr>
      <xdr:spPr>
        <a:xfrm>
          <a:off x="15621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7</xdr:row>
      <xdr:rowOff>152400</xdr:rowOff>
    </xdr:from>
    <xdr:to>
      <xdr:col>1</xdr:col>
      <xdr:colOff>638175</xdr:colOff>
      <xdr:row>8</xdr:row>
      <xdr:rowOff>76200</xdr:rowOff>
    </xdr:to>
    <xdr:sp>
      <xdr:nvSpPr>
        <xdr:cNvPr id="14" name="Oval 24"/>
        <xdr:cNvSpPr>
          <a:spLocks/>
        </xdr:cNvSpPr>
      </xdr:nvSpPr>
      <xdr:spPr>
        <a:xfrm>
          <a:off x="1371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152400</xdr:rowOff>
    </xdr:from>
    <xdr:to>
      <xdr:col>2</xdr:col>
      <xdr:colOff>323850</xdr:colOff>
      <xdr:row>8</xdr:row>
      <xdr:rowOff>76200</xdr:rowOff>
    </xdr:to>
    <xdr:sp>
      <xdr:nvSpPr>
        <xdr:cNvPr id="15" name="Oval 25"/>
        <xdr:cNvSpPr>
          <a:spLocks/>
        </xdr:cNvSpPr>
      </xdr:nvSpPr>
      <xdr:spPr>
        <a:xfrm>
          <a:off x="1752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10</xdr:row>
      <xdr:rowOff>152400</xdr:rowOff>
    </xdr:from>
    <xdr:to>
      <xdr:col>1</xdr:col>
      <xdr:colOff>638175</xdr:colOff>
      <xdr:row>11</xdr:row>
      <xdr:rowOff>76200</xdr:rowOff>
    </xdr:to>
    <xdr:sp>
      <xdr:nvSpPr>
        <xdr:cNvPr id="16" name="Oval 26"/>
        <xdr:cNvSpPr>
          <a:spLocks/>
        </xdr:cNvSpPr>
      </xdr:nvSpPr>
      <xdr:spPr>
        <a:xfrm>
          <a:off x="1371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11</xdr:row>
      <xdr:rowOff>38100</xdr:rowOff>
    </xdr:to>
    <xdr:sp>
      <xdr:nvSpPr>
        <xdr:cNvPr id="17" name="Line 27"/>
        <xdr:cNvSpPr>
          <a:spLocks/>
        </xdr:cNvSpPr>
      </xdr:nvSpPr>
      <xdr:spPr>
        <a:xfrm flipV="1">
          <a:off x="13716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152400</xdr:rowOff>
    </xdr:from>
    <xdr:to>
      <xdr:col>2</xdr:col>
      <xdr:colOff>276225</xdr:colOff>
      <xdr:row>7</xdr:row>
      <xdr:rowOff>152400</xdr:rowOff>
    </xdr:to>
    <xdr:sp>
      <xdr:nvSpPr>
        <xdr:cNvPr id="18" name="Line 28"/>
        <xdr:cNvSpPr>
          <a:spLocks/>
        </xdr:cNvSpPr>
      </xdr:nvSpPr>
      <xdr:spPr>
        <a:xfrm>
          <a:off x="1409700" y="1362075"/>
          <a:ext cx="3714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28575</xdr:rowOff>
    </xdr:from>
    <xdr:to>
      <xdr:col>2</xdr:col>
      <xdr:colOff>323850</xdr:colOff>
      <xdr:row>11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18288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76200</xdr:rowOff>
    </xdr:from>
    <xdr:to>
      <xdr:col>2</xdr:col>
      <xdr:colOff>295275</xdr:colOff>
      <xdr:row>11</xdr:row>
      <xdr:rowOff>76200</xdr:rowOff>
    </xdr:to>
    <xdr:sp>
      <xdr:nvSpPr>
        <xdr:cNvPr id="20" name="Line 30"/>
        <xdr:cNvSpPr>
          <a:spLocks/>
        </xdr:cNvSpPr>
      </xdr:nvSpPr>
      <xdr:spPr>
        <a:xfrm>
          <a:off x="1390650" y="1933575"/>
          <a:ext cx="4095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7</xdr:row>
      <xdr:rowOff>123825</xdr:rowOff>
    </xdr:from>
    <xdr:to>
      <xdr:col>2</xdr:col>
      <xdr:colOff>609600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81200" y="1333500"/>
          <a:ext cx="1333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</xdr:row>
      <xdr:rowOff>114300</xdr:rowOff>
    </xdr:from>
    <xdr:to>
      <xdr:col>2</xdr:col>
      <xdr:colOff>628650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71675" y="1971675"/>
          <a:ext cx="161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38100</xdr:rowOff>
    </xdr:from>
    <xdr:to>
      <xdr:col>1</xdr:col>
      <xdr:colOff>514350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>
          <a:off x="1323975" y="205740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12</xdr:row>
      <xdr:rowOff>57150</xdr:rowOff>
    </xdr:from>
    <xdr:to>
      <xdr:col>2</xdr:col>
      <xdr:colOff>371475</xdr:colOff>
      <xdr:row>13</xdr:row>
      <xdr:rowOff>57150</xdr:rowOff>
    </xdr:to>
    <xdr:sp>
      <xdr:nvSpPr>
        <xdr:cNvPr id="4" name="Line 4"/>
        <xdr:cNvSpPr>
          <a:spLocks/>
        </xdr:cNvSpPr>
      </xdr:nvSpPr>
      <xdr:spPr>
        <a:xfrm>
          <a:off x="1876425" y="2076450"/>
          <a:ext cx="0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2</xdr:col>
      <xdr:colOff>457200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266825" y="2124075"/>
          <a:ext cx="6953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47625</xdr:rowOff>
    </xdr:from>
    <xdr:to>
      <xdr:col>2</xdr:col>
      <xdr:colOff>542925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>
          <a:off x="2047875" y="1257300"/>
          <a:ext cx="0" cy="8191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47625</xdr:rowOff>
    </xdr:from>
    <xdr:to>
      <xdr:col>1</xdr:col>
      <xdr:colOff>561975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66825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47625</xdr:rowOff>
    </xdr:from>
    <xdr:to>
      <xdr:col>2</xdr:col>
      <xdr:colOff>428625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828800" y="2066925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7</xdr:row>
      <xdr:rowOff>66675</xdr:rowOff>
    </xdr:from>
    <xdr:to>
      <xdr:col>2</xdr:col>
      <xdr:colOff>590550</xdr:colOff>
      <xdr:row>8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90725" y="127635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</xdr:row>
      <xdr:rowOff>47625</xdr:rowOff>
    </xdr:from>
    <xdr:to>
      <xdr:col>2</xdr:col>
      <xdr:colOff>600075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000250" y="1905000"/>
          <a:ext cx="104775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104775</xdr:rowOff>
    </xdr:from>
    <xdr:to>
      <xdr:col>2</xdr:col>
      <xdr:colOff>381000</xdr:colOff>
      <xdr:row>11</xdr:row>
      <xdr:rowOff>123825</xdr:rowOff>
    </xdr:to>
    <xdr:sp>
      <xdr:nvSpPr>
        <xdr:cNvPr id="11" name="Rectangle 16"/>
        <xdr:cNvSpPr>
          <a:spLocks/>
        </xdr:cNvSpPr>
      </xdr:nvSpPr>
      <xdr:spPr>
        <a:xfrm>
          <a:off x="1323975" y="1314450"/>
          <a:ext cx="561975" cy="666750"/>
        </a:xfrm>
        <a:prstGeom prst="rect">
          <a:avLst/>
        </a:prstGeom>
        <a:solidFill>
          <a:srgbClr val="CCEC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10</xdr:row>
      <xdr:rowOff>152400</xdr:rowOff>
    </xdr:from>
    <xdr:to>
      <xdr:col>2</xdr:col>
      <xdr:colOff>323850</xdr:colOff>
      <xdr:row>11</xdr:row>
      <xdr:rowOff>76200</xdr:rowOff>
    </xdr:to>
    <xdr:sp>
      <xdr:nvSpPr>
        <xdr:cNvPr id="12" name="Oval 22"/>
        <xdr:cNvSpPr>
          <a:spLocks/>
        </xdr:cNvSpPr>
      </xdr:nvSpPr>
      <xdr:spPr>
        <a:xfrm>
          <a:off x="1752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152400</xdr:rowOff>
    </xdr:from>
    <xdr:to>
      <xdr:col>2</xdr:col>
      <xdr:colOff>133350</xdr:colOff>
      <xdr:row>11</xdr:row>
      <xdr:rowOff>76200</xdr:rowOff>
    </xdr:to>
    <xdr:sp>
      <xdr:nvSpPr>
        <xdr:cNvPr id="13" name="Oval 23"/>
        <xdr:cNvSpPr>
          <a:spLocks/>
        </xdr:cNvSpPr>
      </xdr:nvSpPr>
      <xdr:spPr>
        <a:xfrm>
          <a:off x="15621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7</xdr:row>
      <xdr:rowOff>152400</xdr:rowOff>
    </xdr:from>
    <xdr:to>
      <xdr:col>1</xdr:col>
      <xdr:colOff>638175</xdr:colOff>
      <xdr:row>8</xdr:row>
      <xdr:rowOff>76200</xdr:rowOff>
    </xdr:to>
    <xdr:sp>
      <xdr:nvSpPr>
        <xdr:cNvPr id="14" name="Oval 24"/>
        <xdr:cNvSpPr>
          <a:spLocks/>
        </xdr:cNvSpPr>
      </xdr:nvSpPr>
      <xdr:spPr>
        <a:xfrm>
          <a:off x="1371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152400</xdr:rowOff>
    </xdr:from>
    <xdr:to>
      <xdr:col>2</xdr:col>
      <xdr:colOff>323850</xdr:colOff>
      <xdr:row>8</xdr:row>
      <xdr:rowOff>76200</xdr:rowOff>
    </xdr:to>
    <xdr:sp>
      <xdr:nvSpPr>
        <xdr:cNvPr id="15" name="Oval 25"/>
        <xdr:cNvSpPr>
          <a:spLocks/>
        </xdr:cNvSpPr>
      </xdr:nvSpPr>
      <xdr:spPr>
        <a:xfrm>
          <a:off x="1752600" y="1362075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10</xdr:row>
      <xdr:rowOff>152400</xdr:rowOff>
    </xdr:from>
    <xdr:to>
      <xdr:col>1</xdr:col>
      <xdr:colOff>638175</xdr:colOff>
      <xdr:row>11</xdr:row>
      <xdr:rowOff>76200</xdr:rowOff>
    </xdr:to>
    <xdr:sp>
      <xdr:nvSpPr>
        <xdr:cNvPr id="16" name="Oval 26"/>
        <xdr:cNvSpPr>
          <a:spLocks/>
        </xdr:cNvSpPr>
      </xdr:nvSpPr>
      <xdr:spPr>
        <a:xfrm>
          <a:off x="1371600" y="1847850"/>
          <a:ext cx="76200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8</xdr:row>
      <xdr:rowOff>28575</xdr:rowOff>
    </xdr:from>
    <xdr:to>
      <xdr:col>1</xdr:col>
      <xdr:colOff>561975</xdr:colOff>
      <xdr:row>11</xdr:row>
      <xdr:rowOff>38100</xdr:rowOff>
    </xdr:to>
    <xdr:sp>
      <xdr:nvSpPr>
        <xdr:cNvPr id="17" name="Line 27"/>
        <xdr:cNvSpPr>
          <a:spLocks/>
        </xdr:cNvSpPr>
      </xdr:nvSpPr>
      <xdr:spPr>
        <a:xfrm flipV="1">
          <a:off x="13716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152400</xdr:rowOff>
    </xdr:from>
    <xdr:to>
      <xdr:col>2</xdr:col>
      <xdr:colOff>276225</xdr:colOff>
      <xdr:row>7</xdr:row>
      <xdr:rowOff>152400</xdr:rowOff>
    </xdr:to>
    <xdr:sp>
      <xdr:nvSpPr>
        <xdr:cNvPr id="18" name="Line 28"/>
        <xdr:cNvSpPr>
          <a:spLocks/>
        </xdr:cNvSpPr>
      </xdr:nvSpPr>
      <xdr:spPr>
        <a:xfrm>
          <a:off x="1409700" y="1362075"/>
          <a:ext cx="3714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8</xdr:row>
      <xdr:rowOff>28575</xdr:rowOff>
    </xdr:from>
    <xdr:to>
      <xdr:col>2</xdr:col>
      <xdr:colOff>323850</xdr:colOff>
      <xdr:row>11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1828800" y="1400175"/>
          <a:ext cx="0" cy="49530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11</xdr:row>
      <xdr:rowOff>76200</xdr:rowOff>
    </xdr:from>
    <xdr:to>
      <xdr:col>2</xdr:col>
      <xdr:colOff>295275</xdr:colOff>
      <xdr:row>11</xdr:row>
      <xdr:rowOff>76200</xdr:rowOff>
    </xdr:to>
    <xdr:sp>
      <xdr:nvSpPr>
        <xdr:cNvPr id="20" name="Line 30"/>
        <xdr:cNvSpPr>
          <a:spLocks/>
        </xdr:cNvSpPr>
      </xdr:nvSpPr>
      <xdr:spPr>
        <a:xfrm>
          <a:off x="1390650" y="1933575"/>
          <a:ext cx="4095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3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">
      <selection activeCell="C41" sqref="C41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1.7109375" style="0" customWidth="1"/>
    <col min="4" max="4" width="7.7109375" style="0" customWidth="1"/>
    <col min="5" max="5" width="9.28125" style="0" bestFit="1" customWidth="1"/>
    <col min="6" max="6" width="9.57421875" style="0" customWidth="1"/>
    <col min="7" max="7" width="8.7109375" style="0" customWidth="1"/>
    <col min="8" max="8" width="10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3"/>
      <c r="G4" s="3"/>
      <c r="H4" s="3"/>
    </row>
    <row r="5" spans="1:8" ht="13.5" thickBot="1">
      <c r="A5" s="62"/>
      <c r="B5" s="62"/>
      <c r="C5" s="62"/>
      <c r="D5" s="62"/>
      <c r="E5" s="62"/>
      <c r="F5" s="62"/>
      <c r="G5" s="62"/>
      <c r="H5" s="62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8">
      <c r="A7" s="4" t="s">
        <v>51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63">
        <v>0.3</v>
      </c>
      <c r="D10" s="2" t="s">
        <v>6</v>
      </c>
      <c r="E10" s="1">
        <f>C10-(0.025+0.02/2)</f>
        <v>0.265</v>
      </c>
      <c r="F10" s="1" t="s">
        <v>0</v>
      </c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5"/>
      <c r="B14" s="5"/>
      <c r="C14" s="64">
        <v>0.2</v>
      </c>
      <c r="D14" s="5"/>
      <c r="E14" s="5"/>
      <c r="F14" s="5"/>
      <c r="G14" s="5"/>
      <c r="H14" s="5"/>
    </row>
    <row r="15" spans="1:8" ht="12.75">
      <c r="A15" s="1" t="s">
        <v>1</v>
      </c>
      <c r="B15" s="1"/>
      <c r="C15" s="6">
        <v>9.38</v>
      </c>
      <c r="D15" s="6" t="s">
        <v>4</v>
      </c>
      <c r="E15" s="1"/>
      <c r="F15" s="1"/>
      <c r="G15" s="1"/>
      <c r="H15" s="1"/>
    </row>
    <row r="16" spans="1:8" ht="12.75">
      <c r="A16" s="1" t="s">
        <v>2</v>
      </c>
      <c r="B16" s="1"/>
      <c r="C16" s="6">
        <v>6.26</v>
      </c>
      <c r="D16" s="6" t="s">
        <v>4</v>
      </c>
      <c r="E16" s="1"/>
      <c r="F16" s="1"/>
      <c r="G16" s="1"/>
      <c r="H16" s="1"/>
    </row>
    <row r="17" spans="1:8" ht="12.75">
      <c r="A17" s="1" t="s">
        <v>3</v>
      </c>
      <c r="B17" s="1"/>
      <c r="C17" s="6">
        <v>18.85</v>
      </c>
      <c r="D17" s="6" t="s">
        <v>5</v>
      </c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" t="s">
        <v>7</v>
      </c>
      <c r="B19" s="1"/>
      <c r="C19" s="1"/>
      <c r="D19" s="1"/>
      <c r="E19" s="1"/>
      <c r="F19" s="1"/>
      <c r="G19" s="1"/>
      <c r="H19" s="1"/>
    </row>
    <row r="20" spans="1:8" ht="13.5" thickBot="1">
      <c r="A20" s="7"/>
      <c r="B20" s="1"/>
      <c r="C20" s="1"/>
      <c r="D20" s="1"/>
      <c r="E20" s="1"/>
      <c r="F20" s="1"/>
      <c r="G20" s="1"/>
      <c r="H20" s="1"/>
    </row>
    <row r="21" spans="1:8" ht="13.5" thickBot="1">
      <c r="A21" s="35" t="s">
        <v>8</v>
      </c>
      <c r="B21" s="36"/>
      <c r="C21" s="37"/>
      <c r="D21" s="37"/>
      <c r="E21" s="38"/>
      <c r="F21" s="39"/>
      <c r="G21" s="36" t="s">
        <v>20</v>
      </c>
      <c r="H21" s="38"/>
    </row>
    <row r="22" spans="1:8" ht="12.75">
      <c r="A22" s="40" t="s">
        <v>9</v>
      </c>
      <c r="B22" s="41">
        <v>20000</v>
      </c>
      <c r="C22" s="42" t="s">
        <v>10</v>
      </c>
      <c r="D22" s="43" t="s">
        <v>11</v>
      </c>
      <c r="E22" s="44"/>
      <c r="F22" s="56" t="s">
        <v>21</v>
      </c>
      <c r="G22" s="41">
        <v>300000</v>
      </c>
      <c r="H22" s="44" t="s">
        <v>10</v>
      </c>
    </row>
    <row r="23" spans="1:8" ht="12.75">
      <c r="A23" s="45" t="s">
        <v>12</v>
      </c>
      <c r="B23" s="46">
        <v>1500</v>
      </c>
      <c r="C23" s="47" t="s">
        <v>10</v>
      </c>
      <c r="D23" s="48" t="s">
        <v>13</v>
      </c>
      <c r="E23" s="49"/>
      <c r="F23" s="57" t="s">
        <v>27</v>
      </c>
      <c r="G23" s="48">
        <v>1.15</v>
      </c>
      <c r="H23" s="49"/>
    </row>
    <row r="24" spans="1:8" ht="12.75">
      <c r="A24" s="45" t="s">
        <v>14</v>
      </c>
      <c r="B24" s="48">
        <v>1.5</v>
      </c>
      <c r="C24" s="47"/>
      <c r="D24" s="48" t="s">
        <v>15</v>
      </c>
      <c r="E24" s="49"/>
      <c r="F24" s="57" t="s">
        <v>22</v>
      </c>
      <c r="G24" s="46">
        <f>G22/G23</f>
        <v>260869.56521739133</v>
      </c>
      <c r="H24" s="49" t="s">
        <v>10</v>
      </c>
    </row>
    <row r="25" spans="1:8" ht="12.75">
      <c r="A25" s="45" t="s">
        <v>16</v>
      </c>
      <c r="B25" s="65">
        <f>B22*0.85/B24</f>
        <v>11333.333333333334</v>
      </c>
      <c r="C25" s="47" t="s">
        <v>10</v>
      </c>
      <c r="D25" s="48"/>
      <c r="E25" s="49"/>
      <c r="F25" s="57" t="s">
        <v>23</v>
      </c>
      <c r="G25" s="46">
        <v>200000</v>
      </c>
      <c r="H25" s="49" t="s">
        <v>10</v>
      </c>
    </row>
    <row r="26" spans="1:8" ht="12.75">
      <c r="A26" s="45" t="s">
        <v>17</v>
      </c>
      <c r="B26" s="50">
        <f>B23/B24</f>
        <v>1000</v>
      </c>
      <c r="C26" s="47" t="s">
        <v>10</v>
      </c>
      <c r="D26" s="48"/>
      <c r="E26" s="49"/>
      <c r="F26" s="58" t="s">
        <v>43</v>
      </c>
      <c r="G26" s="47">
        <f>0.6/300</f>
        <v>0.002</v>
      </c>
      <c r="H26" s="59"/>
    </row>
    <row r="27" spans="1:8" ht="13.5" thickBot="1">
      <c r="A27" s="51" t="s">
        <v>18</v>
      </c>
      <c r="B27" s="52">
        <v>29000</v>
      </c>
      <c r="C27" s="53" t="s">
        <v>10</v>
      </c>
      <c r="D27" s="54" t="s">
        <v>19</v>
      </c>
      <c r="E27" s="55"/>
      <c r="F27" s="60" t="s">
        <v>44</v>
      </c>
      <c r="G27" s="53">
        <v>0.0165</v>
      </c>
      <c r="H27" s="61"/>
    </row>
    <row r="28" spans="1:8" ht="12.75">
      <c r="A28" s="1"/>
      <c r="B28" s="1"/>
      <c r="C28" s="8"/>
      <c r="D28" s="8"/>
      <c r="E28" s="1"/>
      <c r="F28" s="8"/>
      <c r="G28" s="8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7" t="s">
        <v>50</v>
      </c>
      <c r="B33" s="1"/>
      <c r="C33" s="1"/>
      <c r="D33" s="7" t="s">
        <v>29</v>
      </c>
      <c r="E33" s="1"/>
      <c r="F33" s="1"/>
      <c r="G33" s="1"/>
      <c r="H33" s="1"/>
    </row>
    <row r="34" spans="1:8" ht="12.75">
      <c r="A34" s="9" t="s">
        <v>24</v>
      </c>
      <c r="B34" s="10">
        <f>$G$24/$B$25</f>
        <v>23.017902813299234</v>
      </c>
      <c r="C34" s="1"/>
      <c r="D34" s="9" t="s">
        <v>24</v>
      </c>
      <c r="E34" s="10">
        <f>$G$24/$B$25</f>
        <v>23.017902813299234</v>
      </c>
      <c r="F34" s="1"/>
      <c r="G34" s="1"/>
      <c r="H34" s="1"/>
    </row>
    <row r="35" spans="1:8" ht="12.75">
      <c r="A35" s="9" t="s">
        <v>25</v>
      </c>
      <c r="B35" s="1">
        <f>C15/($C$14*$E$10^2)</f>
        <v>667.8533285866856</v>
      </c>
      <c r="C35" s="1"/>
      <c r="D35" s="9" t="s">
        <v>25</v>
      </c>
      <c r="E35" s="1">
        <f>C16/($C$14*$E$10^2)</f>
        <v>445.7102171591313</v>
      </c>
      <c r="F35" s="1"/>
      <c r="G35" s="1"/>
      <c r="H35" s="1"/>
    </row>
    <row r="36" spans="1:8" ht="12.75">
      <c r="A36" s="11" t="s">
        <v>26</v>
      </c>
      <c r="B36" s="12">
        <f>(1/B34)*(1-(SQRT(1-(2*B34*B35/G24))))</f>
        <v>0.0026403377387448222</v>
      </c>
      <c r="C36" s="13">
        <f>IF(B36&gt;0.0165,"Dbl!!","")</f>
      </c>
      <c r="D36" s="11" t="s">
        <v>37</v>
      </c>
      <c r="E36" s="14">
        <f>(1/E34)*(1-(SQRT(1-(2*E34*E35/G24))))</f>
        <v>0.0017435423534729875</v>
      </c>
      <c r="F36" s="13">
        <f>IF(E36&gt;0.0165,"Dbl!!","")</f>
      </c>
      <c r="G36" s="1"/>
      <c r="H36" s="1"/>
    </row>
    <row r="37" spans="1:8" ht="12.75">
      <c r="A37" s="15" t="s">
        <v>28</v>
      </c>
      <c r="B37" s="16">
        <f>IF(B36&lt;$G$27,B36*$C$14*$E$10,IF(B36&lt;$G$26,G26*$C$14*$E$10,$G$27*$C$14*$E$10))</f>
        <v>0.0001399379001534756</v>
      </c>
      <c r="C37" s="17"/>
      <c r="D37" s="15" t="s">
        <v>28</v>
      </c>
      <c r="E37" s="16">
        <f>IF(E36&gt;$G$26,E36*$C$14*$E$10,G26*$C$14*$E$10)</f>
        <v>0.00010600000000000002</v>
      </c>
      <c r="F37" s="1"/>
      <c r="G37" s="1"/>
      <c r="H37" s="1"/>
    </row>
    <row r="38" spans="1:8" ht="12.75">
      <c r="A38" s="18" t="s">
        <v>34</v>
      </c>
      <c r="B38" s="19">
        <v>10</v>
      </c>
      <c r="C38" s="17"/>
      <c r="D38" s="18" t="s">
        <v>34</v>
      </c>
      <c r="E38" s="19">
        <v>10</v>
      </c>
      <c r="F38" s="1"/>
      <c r="G38" s="1"/>
      <c r="H38" s="1"/>
    </row>
    <row r="39" spans="1:8" ht="12.75">
      <c r="A39" s="20" t="s">
        <v>35</v>
      </c>
      <c r="B39" s="21">
        <v>2</v>
      </c>
      <c r="C39" s="17"/>
      <c r="D39" s="20" t="s">
        <v>35</v>
      </c>
      <c r="E39" s="21">
        <v>2</v>
      </c>
      <c r="F39" s="1"/>
      <c r="G39" s="1"/>
      <c r="H39" s="1"/>
    </row>
    <row r="40" spans="1:8" ht="12.75">
      <c r="A40" s="18" t="s">
        <v>34</v>
      </c>
      <c r="B40" s="21">
        <v>10</v>
      </c>
      <c r="C40" s="17"/>
      <c r="D40" s="18" t="s">
        <v>34</v>
      </c>
      <c r="E40" s="21">
        <v>10</v>
      </c>
      <c r="F40" s="1"/>
      <c r="G40" s="1"/>
      <c r="H40" s="1"/>
    </row>
    <row r="41" spans="1:8" ht="12.75">
      <c r="A41" s="20" t="s">
        <v>35</v>
      </c>
      <c r="B41" s="21">
        <v>0</v>
      </c>
      <c r="C41" s="19"/>
      <c r="D41" s="20" t="s">
        <v>35</v>
      </c>
      <c r="E41" s="21">
        <v>0</v>
      </c>
      <c r="F41" s="1"/>
      <c r="G41" s="1"/>
      <c r="H41" s="1"/>
    </row>
    <row r="42" spans="1:8" ht="12.75">
      <c r="A42" s="15" t="s">
        <v>36</v>
      </c>
      <c r="B42" s="1">
        <f>(PI()*(B38/2000)^2)*B39+(PI()*(B40/2000)^2)*B41</f>
        <v>0.00015707963267948965</v>
      </c>
      <c r="C42" s="1"/>
      <c r="D42" s="15" t="s">
        <v>36</v>
      </c>
      <c r="E42" s="22">
        <f>(PI()*(E38/2000)^2)*E39+(PI()*(E40/2000)^2)*E41</f>
        <v>0.00015707963267948965</v>
      </c>
      <c r="F42" s="1"/>
      <c r="G42" s="1"/>
      <c r="H42" s="1"/>
    </row>
    <row r="43" spans="1:8" ht="12.75">
      <c r="A43" s="15" t="s">
        <v>38</v>
      </c>
      <c r="B43" s="23">
        <f>B42*$G$24*($E$10-(($B$42*$G$24)/($B$25*$C$14))/2)</f>
        <v>10.488585050054962</v>
      </c>
      <c r="C43" s="1"/>
      <c r="D43" s="15" t="s">
        <v>38</v>
      </c>
      <c r="E43" s="23">
        <f>E42*$G$24*($E$10-((E42*$G$24)/($B$25*$C$14))/2)</f>
        <v>10.488585050054962</v>
      </c>
      <c r="F43" s="1"/>
      <c r="G43" s="1"/>
      <c r="H43" s="1"/>
    </row>
    <row r="44" spans="1:8" ht="12.75">
      <c r="A44" s="15" t="s">
        <v>39</v>
      </c>
      <c r="B44" s="24">
        <f>(B43-C15)/C15</f>
        <v>0.11818603945148834</v>
      </c>
      <c r="C44" s="1"/>
      <c r="D44" s="15" t="s">
        <v>39</v>
      </c>
      <c r="E44" s="24">
        <f>(E43-C16)/C16</f>
        <v>0.6754928194975978</v>
      </c>
      <c r="F44" s="1"/>
      <c r="G44" s="1"/>
      <c r="H44" s="1"/>
    </row>
    <row r="45" spans="1:8" ht="12.75">
      <c r="A45" s="20"/>
      <c r="B45" s="24"/>
      <c r="C45" s="1"/>
      <c r="D45" s="20"/>
      <c r="E45" s="24"/>
      <c r="F45" s="1"/>
      <c r="G45" s="1"/>
      <c r="H45" s="1"/>
    </row>
    <row r="46" spans="1:8" ht="12.75">
      <c r="A46" s="7" t="s">
        <v>30</v>
      </c>
      <c r="B46" s="1"/>
      <c r="C46" s="1"/>
      <c r="D46" s="7" t="s">
        <v>31</v>
      </c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25" t="s">
        <v>45</v>
      </c>
      <c r="G48" s="26">
        <f>IF(C17&lt;B52,0,(C17-B52))</f>
        <v>0</v>
      </c>
      <c r="H48" s="1"/>
    </row>
    <row r="49" spans="1:8" ht="18.75">
      <c r="A49" s="27" t="s">
        <v>46</v>
      </c>
      <c r="B49" s="28">
        <f>1+50*(B42/(C14*E10))</f>
        <v>1.1481883327164997</v>
      </c>
      <c r="C49" s="1"/>
      <c r="D49" s="1"/>
      <c r="E49" s="1"/>
      <c r="F49" s="1"/>
      <c r="G49" s="1"/>
      <c r="H49" s="1"/>
    </row>
    <row r="50" spans="1:8" ht="18.75">
      <c r="A50" s="27" t="s">
        <v>47</v>
      </c>
      <c r="B50" s="28">
        <f>1.6-E10</f>
        <v>1.335</v>
      </c>
      <c r="C50" s="1"/>
      <c r="D50" s="1" t="s">
        <v>41</v>
      </c>
      <c r="E50" s="29">
        <v>8</v>
      </c>
      <c r="F50" s="25" t="s">
        <v>48</v>
      </c>
      <c r="G50" s="1">
        <f>(PI()*(E50/2000)^2)*2</f>
        <v>0.00010053096491487337</v>
      </c>
      <c r="H50" s="1"/>
    </row>
    <row r="51" spans="1:8" ht="15.75">
      <c r="A51" s="1"/>
      <c r="B51" s="1"/>
      <c r="C51" s="1"/>
      <c r="D51" s="30" t="s">
        <v>32</v>
      </c>
      <c r="E51" s="31">
        <f>IF(G48=0,0.2,(G50*E10*G24)/G48)</f>
        <v>0.2</v>
      </c>
      <c r="F51" s="3" t="s">
        <v>0</v>
      </c>
      <c r="G51" s="1"/>
      <c r="H51" s="31"/>
    </row>
    <row r="52" spans="1:8" ht="19.5" thickBot="1">
      <c r="A52" s="25" t="s">
        <v>49</v>
      </c>
      <c r="B52" s="32">
        <f>0.25*B26*B49*B50*C14*E10</f>
        <v>20.31001637033898</v>
      </c>
      <c r="C52" s="6" t="s">
        <v>5</v>
      </c>
      <c r="D52" s="1" t="s">
        <v>40</v>
      </c>
      <c r="E52" s="33">
        <v>0.16</v>
      </c>
      <c r="F52" s="1" t="s">
        <v>0</v>
      </c>
      <c r="G52" s="1" t="s">
        <v>33</v>
      </c>
      <c r="H52" s="34">
        <f>ROUNDDOWN(MIN(E52,E51),2)</f>
        <v>0.16</v>
      </c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printOptions/>
  <pageMargins left="0.75" right="0.75" top="1" bottom="1" header="0.5" footer="0.5"/>
  <pageSetup horizontalDpi="600" verticalDpi="600" orientation="portrait" paperSize="9" r:id="rId13"/>
  <headerFooter alignWithMargins="0">
    <oddFooter>&amp;C&amp;7--------------------------------------------------------------------------------------------------------------------------------------------------------------------------------------------------------------
</oddFooter>
  </headerFooter>
  <drawing r:id="rId12"/>
  <legacyDrawing r:id="rId11"/>
  <oleObjects>
    <oleObject progId="Equation.3" shapeId="952874" r:id="rId1"/>
    <oleObject progId="Equation.3" shapeId="952875" r:id="rId2"/>
    <oleObject progId="Equation.3" shapeId="952876" r:id="rId3"/>
    <oleObject progId="Equation.3" shapeId="952877" r:id="rId4"/>
    <oleObject progId="Equation.3" shapeId="952878" r:id="rId5"/>
    <oleObject progId="Equation.3" shapeId="952879" r:id="rId6"/>
    <oleObject progId="Equation.3" shapeId="952880" r:id="rId7"/>
    <oleObject progId="Equation.3" shapeId="952881" r:id="rId8"/>
    <oleObject progId="Equation.3" shapeId="952882" r:id="rId9"/>
    <oleObject progId="Equation.3" shapeId="952883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6">
      <selection activeCell="H51" sqref="H51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1.7109375" style="0" customWidth="1"/>
    <col min="4" max="4" width="7.7109375" style="0" customWidth="1"/>
    <col min="5" max="5" width="9.28125" style="0" bestFit="1" customWidth="1"/>
    <col min="6" max="6" width="9.57421875" style="0" customWidth="1"/>
    <col min="7" max="7" width="8.7109375" style="0" customWidth="1"/>
    <col min="8" max="8" width="10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3"/>
      <c r="G4" s="3"/>
      <c r="H4" s="3"/>
    </row>
    <row r="5" spans="1:8" ht="13.5" thickBot="1">
      <c r="A5" s="62"/>
      <c r="B5" s="62"/>
      <c r="C5" s="62"/>
      <c r="D5" s="62"/>
      <c r="E5" s="62"/>
      <c r="F5" s="62"/>
      <c r="G5" s="62"/>
      <c r="H5" s="62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8">
      <c r="A7" s="4" t="s">
        <v>42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63">
        <v>0.3</v>
      </c>
      <c r="D10" s="2" t="s">
        <v>6</v>
      </c>
      <c r="E10" s="1">
        <f>C10-(0.025+0.02/2)</f>
        <v>0.265</v>
      </c>
      <c r="F10" s="1" t="s">
        <v>0</v>
      </c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5"/>
      <c r="B14" s="5"/>
      <c r="C14" s="64">
        <v>0.2</v>
      </c>
      <c r="D14" s="5"/>
      <c r="E14" s="5"/>
      <c r="F14" s="5"/>
      <c r="G14" s="5"/>
      <c r="H14" s="5"/>
    </row>
    <row r="15" spans="1:8" ht="12.75">
      <c r="A15" s="1" t="s">
        <v>1</v>
      </c>
      <c r="B15" s="1"/>
      <c r="C15" s="6">
        <v>9</v>
      </c>
      <c r="D15" s="6" t="s">
        <v>4</v>
      </c>
      <c r="E15" s="1"/>
      <c r="F15" s="1"/>
      <c r="G15" s="1"/>
      <c r="H15" s="1"/>
    </row>
    <row r="16" spans="1:8" ht="12.75">
      <c r="A16" s="1" t="s">
        <v>2</v>
      </c>
      <c r="B16" s="1"/>
      <c r="C16" s="6">
        <v>8</v>
      </c>
      <c r="D16" s="6" t="s">
        <v>4</v>
      </c>
      <c r="E16" s="1"/>
      <c r="F16" s="1"/>
      <c r="G16" s="1"/>
      <c r="H16" s="1"/>
    </row>
    <row r="17" spans="1:8" ht="12.75">
      <c r="A17" s="1" t="s">
        <v>3</v>
      </c>
      <c r="B17" s="1"/>
      <c r="C17" s="6">
        <v>23</v>
      </c>
      <c r="D17" s="6" t="s">
        <v>5</v>
      </c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" t="s">
        <v>7</v>
      </c>
      <c r="B19" s="1"/>
      <c r="C19" s="1"/>
      <c r="D19" s="1"/>
      <c r="E19" s="1"/>
      <c r="F19" s="1"/>
      <c r="G19" s="1"/>
      <c r="H19" s="1"/>
    </row>
    <row r="20" spans="1:8" ht="13.5" thickBot="1">
      <c r="A20" s="7"/>
      <c r="B20" s="1"/>
      <c r="C20" s="1"/>
      <c r="D20" s="1"/>
      <c r="E20" s="1"/>
      <c r="F20" s="1"/>
      <c r="G20" s="1"/>
      <c r="H20" s="1"/>
    </row>
    <row r="21" spans="1:8" ht="13.5" thickBot="1">
      <c r="A21" s="35" t="s">
        <v>8</v>
      </c>
      <c r="B21" s="36"/>
      <c r="C21" s="37"/>
      <c r="D21" s="37"/>
      <c r="E21" s="38"/>
      <c r="F21" s="39"/>
      <c r="G21" s="36" t="s">
        <v>20</v>
      </c>
      <c r="H21" s="38"/>
    </row>
    <row r="22" spans="1:8" ht="12.75">
      <c r="A22" s="40" t="s">
        <v>9</v>
      </c>
      <c r="B22" s="41">
        <v>20000</v>
      </c>
      <c r="C22" s="42" t="s">
        <v>10</v>
      </c>
      <c r="D22" s="43" t="s">
        <v>11</v>
      </c>
      <c r="E22" s="44"/>
      <c r="F22" s="56" t="s">
        <v>21</v>
      </c>
      <c r="G22" s="41">
        <v>300000</v>
      </c>
      <c r="H22" s="44" t="s">
        <v>10</v>
      </c>
    </row>
    <row r="23" spans="1:8" ht="12.75">
      <c r="A23" s="45" t="s">
        <v>12</v>
      </c>
      <c r="B23" s="46">
        <v>1500</v>
      </c>
      <c r="C23" s="47" t="s">
        <v>10</v>
      </c>
      <c r="D23" s="48" t="s">
        <v>13</v>
      </c>
      <c r="E23" s="49"/>
      <c r="F23" s="57" t="s">
        <v>27</v>
      </c>
      <c r="G23" s="48">
        <v>1.15</v>
      </c>
      <c r="H23" s="49"/>
    </row>
    <row r="24" spans="1:8" ht="12.75">
      <c r="A24" s="45" t="s">
        <v>14</v>
      </c>
      <c r="B24" s="48">
        <v>1.5</v>
      </c>
      <c r="C24" s="47"/>
      <c r="D24" s="48" t="s">
        <v>15</v>
      </c>
      <c r="E24" s="49"/>
      <c r="F24" s="57" t="s">
        <v>22</v>
      </c>
      <c r="G24" s="46">
        <f>G22/G23</f>
        <v>260869.56521739133</v>
      </c>
      <c r="H24" s="49" t="s">
        <v>10</v>
      </c>
    </row>
    <row r="25" spans="1:8" ht="12.75">
      <c r="A25" s="45" t="s">
        <v>16</v>
      </c>
      <c r="B25" s="65">
        <f>B22*0.85/B24</f>
        <v>11333.333333333334</v>
      </c>
      <c r="C25" s="47" t="s">
        <v>10</v>
      </c>
      <c r="D25" s="48"/>
      <c r="E25" s="49"/>
      <c r="F25" s="57" t="s">
        <v>23</v>
      </c>
      <c r="G25" s="46">
        <v>200000</v>
      </c>
      <c r="H25" s="49" t="s">
        <v>10</v>
      </c>
    </row>
    <row r="26" spans="1:8" ht="12.75">
      <c r="A26" s="45" t="s">
        <v>17</v>
      </c>
      <c r="B26" s="50">
        <f>B23/B24</f>
        <v>1000</v>
      </c>
      <c r="C26" s="47" t="s">
        <v>10</v>
      </c>
      <c r="D26" s="48"/>
      <c r="E26" s="49"/>
      <c r="F26" s="58" t="s">
        <v>43</v>
      </c>
      <c r="G26" s="47">
        <f>0.6/300</f>
        <v>0.002</v>
      </c>
      <c r="H26" s="59"/>
    </row>
    <row r="27" spans="1:8" ht="13.5" thickBot="1">
      <c r="A27" s="51" t="s">
        <v>18</v>
      </c>
      <c r="B27" s="52">
        <v>29000</v>
      </c>
      <c r="C27" s="53" t="s">
        <v>10</v>
      </c>
      <c r="D27" s="54" t="s">
        <v>19</v>
      </c>
      <c r="E27" s="55"/>
      <c r="F27" s="60" t="s">
        <v>44</v>
      </c>
      <c r="G27" s="53">
        <v>0.0165</v>
      </c>
      <c r="H27" s="61"/>
    </row>
    <row r="28" spans="1:8" ht="12.75">
      <c r="A28" s="1"/>
      <c r="B28" s="1"/>
      <c r="C28" s="8"/>
      <c r="D28" s="8"/>
      <c r="E28" s="1"/>
      <c r="F28" s="8"/>
      <c r="G28" s="8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7" t="s">
        <v>50</v>
      </c>
      <c r="B33" s="1"/>
      <c r="C33" s="1"/>
      <c r="D33" s="7" t="s">
        <v>29</v>
      </c>
      <c r="E33" s="1"/>
      <c r="F33" s="1"/>
      <c r="G33" s="1"/>
      <c r="H33" s="1"/>
    </row>
    <row r="34" spans="1:8" ht="12.75">
      <c r="A34" s="9" t="s">
        <v>24</v>
      </c>
      <c r="B34" s="10">
        <f>$G$24/$B$25</f>
        <v>23.017902813299234</v>
      </c>
      <c r="C34" s="1"/>
      <c r="D34" s="9" t="s">
        <v>24</v>
      </c>
      <c r="E34" s="10">
        <f>$G$24/$B$25</f>
        <v>23.017902813299234</v>
      </c>
      <c r="F34" s="1"/>
      <c r="G34" s="1"/>
      <c r="H34" s="1"/>
    </row>
    <row r="35" spans="1:8" ht="12.75">
      <c r="A35" s="9" t="s">
        <v>25</v>
      </c>
      <c r="B35" s="1">
        <f>C15/($C$14*$E$10^2)</f>
        <v>640.7974368102526</v>
      </c>
      <c r="C35" s="1"/>
      <c r="D35" s="9" t="s">
        <v>25</v>
      </c>
      <c r="E35" s="1">
        <f>C16/($C$14*$E$10^2)</f>
        <v>569.5977216091135</v>
      </c>
      <c r="F35" s="1"/>
      <c r="G35" s="1"/>
      <c r="H35" s="1"/>
    </row>
    <row r="36" spans="1:8" ht="12.75">
      <c r="A36" s="11" t="s">
        <v>26</v>
      </c>
      <c r="B36" s="12">
        <f>(1/B34)*(1-(SQRT(1-(2*B34*B35/G24))))</f>
        <v>0.002530061397014719</v>
      </c>
      <c r="C36" s="13">
        <f>IF(B36&gt;0.0165,"Dbl!!","")</f>
      </c>
      <c r="D36" s="11" t="s">
        <v>37</v>
      </c>
      <c r="E36" s="14">
        <f>(1/E34)*(1-(SQRT(1-(2*E34*E35/G24))))</f>
        <v>0.002241270787955772</v>
      </c>
      <c r="F36" s="13">
        <f>IF(E36&gt;0.0165,"Dbl!!","")</f>
      </c>
      <c r="G36" s="1"/>
      <c r="H36" s="1"/>
    </row>
    <row r="37" spans="1:8" ht="12.75">
      <c r="A37" s="15" t="s">
        <v>28</v>
      </c>
      <c r="B37" s="16">
        <f>IF(B36&lt;$G$27,B36*$C$14*$E$10,IF(B36&lt;$G$26,G26*$C$14*$E$10,$G$27*$C$14*$E$10))</f>
        <v>0.00013409325404178013</v>
      </c>
      <c r="C37" s="17"/>
      <c r="D37" s="15" t="s">
        <v>28</v>
      </c>
      <c r="E37" s="16">
        <f>IF(E36&gt;$G$26,E36*$C$14*$E$10,G26*$C$14*$E$10)</f>
        <v>0.00011878735176165592</v>
      </c>
      <c r="F37" s="1"/>
      <c r="G37" s="1"/>
      <c r="H37" s="1"/>
    </row>
    <row r="38" spans="1:8" ht="12.75">
      <c r="A38" s="18" t="s">
        <v>34</v>
      </c>
      <c r="B38" s="19">
        <v>10</v>
      </c>
      <c r="C38" s="17"/>
      <c r="D38" s="18" t="s">
        <v>34</v>
      </c>
      <c r="E38" s="19">
        <v>10</v>
      </c>
      <c r="F38" s="1"/>
      <c r="G38" s="1"/>
      <c r="H38" s="1"/>
    </row>
    <row r="39" spans="1:8" ht="12.75">
      <c r="A39" s="20" t="s">
        <v>35</v>
      </c>
      <c r="B39" s="21">
        <v>2</v>
      </c>
      <c r="C39" s="17"/>
      <c r="D39" s="20" t="s">
        <v>35</v>
      </c>
      <c r="E39" s="21">
        <v>2</v>
      </c>
      <c r="F39" s="1"/>
      <c r="G39" s="1"/>
      <c r="H39" s="1"/>
    </row>
    <row r="40" spans="1:8" ht="12.75">
      <c r="A40" s="18" t="s">
        <v>34</v>
      </c>
      <c r="B40" s="21">
        <v>10</v>
      </c>
      <c r="C40" s="17"/>
      <c r="D40" s="18" t="s">
        <v>34</v>
      </c>
      <c r="E40" s="21">
        <v>10</v>
      </c>
      <c r="F40" s="1"/>
      <c r="G40" s="1"/>
      <c r="H40" s="1"/>
    </row>
    <row r="41" spans="1:8" ht="12.75">
      <c r="A41" s="20" t="s">
        <v>35</v>
      </c>
      <c r="B41" s="21">
        <v>0</v>
      </c>
      <c r="C41" s="19"/>
      <c r="D41" s="20" t="s">
        <v>35</v>
      </c>
      <c r="E41" s="21">
        <v>0</v>
      </c>
      <c r="F41" s="1"/>
      <c r="G41" s="1"/>
      <c r="H41" s="1"/>
    </row>
    <row r="42" spans="1:8" ht="12.75">
      <c r="A42" s="15" t="s">
        <v>36</v>
      </c>
      <c r="B42" s="1">
        <f>(PI()*(B38/2000)^2)*B39+(PI()*(B40/2000)^2)*B41</f>
        <v>0.00015707963267948965</v>
      </c>
      <c r="C42" s="1"/>
      <c r="D42" s="15" t="s">
        <v>36</v>
      </c>
      <c r="E42" s="22">
        <f>(PI()*(E38/2000)^2)*E39+(PI()*(E40/2000)^2)*E41</f>
        <v>0.00015707963267948965</v>
      </c>
      <c r="F42" s="1"/>
      <c r="G42" s="1"/>
      <c r="H42" s="1"/>
    </row>
    <row r="43" spans="1:8" ht="12.75">
      <c r="A43" s="15" t="s">
        <v>38</v>
      </c>
      <c r="B43" s="23">
        <f>B42*$G$24*($E$10-(($B$42*$G$24)/($B$25*$C$14))/2)</f>
        <v>10.488585050054962</v>
      </c>
      <c r="C43" s="1"/>
      <c r="D43" s="15" t="s">
        <v>38</v>
      </c>
      <c r="E43" s="23">
        <f>E42*$G$24*($E$10-((E42*$G$24)/($B$25*$C$14))/2)</f>
        <v>10.488585050054962</v>
      </c>
      <c r="F43" s="1"/>
      <c r="G43" s="1"/>
      <c r="H43" s="1"/>
    </row>
    <row r="44" spans="1:8" ht="12.75">
      <c r="A44" s="15" t="s">
        <v>39</v>
      </c>
      <c r="B44" s="24">
        <f>(B43-C15)/C15</f>
        <v>0.16539833889499572</v>
      </c>
      <c r="C44" s="1"/>
      <c r="D44" s="15" t="s">
        <v>39</v>
      </c>
      <c r="E44" s="24">
        <f>(E43-C16)/C16</f>
        <v>0.3110731312568702</v>
      </c>
      <c r="F44" s="1"/>
      <c r="G44" s="1"/>
      <c r="H44" s="1"/>
    </row>
    <row r="45" spans="1:8" ht="12.75">
      <c r="A45" s="20"/>
      <c r="B45" s="24"/>
      <c r="C45" s="1"/>
      <c r="D45" s="20"/>
      <c r="E45" s="24"/>
      <c r="F45" s="1"/>
      <c r="G45" s="1"/>
      <c r="H45" s="1"/>
    </row>
    <row r="46" spans="1:8" ht="12.75">
      <c r="A46" s="7" t="s">
        <v>30</v>
      </c>
      <c r="B46" s="1"/>
      <c r="C46" s="1"/>
      <c r="D46" s="7" t="s">
        <v>31</v>
      </c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25" t="s">
        <v>45</v>
      </c>
      <c r="G48" s="26">
        <f>IF(C17&lt;B52,0,(C17-B52))</f>
        <v>2.6899836296610182</v>
      </c>
      <c r="H48" s="1"/>
    </row>
    <row r="49" spans="1:8" ht="18.75">
      <c r="A49" s="27" t="s">
        <v>46</v>
      </c>
      <c r="B49" s="28">
        <f>1+50*(B42/(C14*E10))</f>
        <v>1.1481883327164997</v>
      </c>
      <c r="C49" s="1"/>
      <c r="D49" s="1"/>
      <c r="E49" s="1"/>
      <c r="F49" s="1"/>
      <c r="G49" s="1"/>
      <c r="H49" s="1"/>
    </row>
    <row r="50" spans="1:8" ht="18.75">
      <c r="A50" s="27" t="s">
        <v>47</v>
      </c>
      <c r="B50" s="28">
        <f>1.6-E10</f>
        <v>1.335</v>
      </c>
      <c r="C50" s="1"/>
      <c r="D50" s="1" t="s">
        <v>41</v>
      </c>
      <c r="E50" s="29">
        <v>8</v>
      </c>
      <c r="F50" s="25" t="s">
        <v>48</v>
      </c>
      <c r="G50" s="1">
        <f>(PI()*(E50/2000)^2)*2</f>
        <v>0.00010053096491487337</v>
      </c>
      <c r="H50" s="1"/>
    </row>
    <row r="51" spans="1:8" ht="15.75">
      <c r="A51" s="1"/>
      <c r="B51" s="1"/>
      <c r="C51" s="1"/>
      <c r="D51" s="30" t="s">
        <v>32</v>
      </c>
      <c r="E51" s="31">
        <f>IF(G48=0,0.2,(G50*E10*G24)/G48)</f>
        <v>2.583565653355355</v>
      </c>
      <c r="F51" s="3" t="s">
        <v>0</v>
      </c>
      <c r="G51" s="1"/>
      <c r="H51" s="31"/>
    </row>
    <row r="52" spans="1:8" ht="19.5" thickBot="1">
      <c r="A52" s="25" t="s">
        <v>49</v>
      </c>
      <c r="B52" s="32">
        <f>0.25*B26*B49*B50*C14*E10</f>
        <v>20.31001637033898</v>
      </c>
      <c r="C52" s="6" t="s">
        <v>5</v>
      </c>
      <c r="D52" s="1" t="s">
        <v>40</v>
      </c>
      <c r="E52" s="33">
        <v>0.16</v>
      </c>
      <c r="F52" s="1" t="s">
        <v>0</v>
      </c>
      <c r="G52" s="1" t="s">
        <v>33</v>
      </c>
      <c r="H52" s="34">
        <f>ROUNDDOWN(MIN(E52,E51),2)</f>
        <v>0.16</v>
      </c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printOptions/>
  <pageMargins left="0.75" right="0.75" top="1" bottom="1" header="0.5" footer="0.5"/>
  <pageSetup horizontalDpi="600" verticalDpi="600" orientation="portrait" paperSize="9" r:id="rId13"/>
  <headerFooter alignWithMargins="0">
    <oddFooter>&amp;C&amp;7--------------------------------------------------------------------------------------------------------------------------------------------------------------------------------------------------------------
</oddFooter>
  </headerFooter>
  <drawing r:id="rId12"/>
  <legacyDrawing r:id="rId11"/>
  <oleObjects>
    <oleObject progId="Equation.3" shapeId="528714" r:id="rId1"/>
    <oleObject progId="Equation.3" shapeId="528715" r:id="rId2"/>
    <oleObject progId="Equation.3" shapeId="528716" r:id="rId3"/>
    <oleObject progId="Equation.3" shapeId="528717" r:id="rId4"/>
    <oleObject progId="Equation.3" shapeId="528718" r:id="rId5"/>
    <oleObject progId="Equation.3" shapeId="528719" r:id="rId6"/>
    <oleObject progId="Equation.3" shapeId="528720" r:id="rId7"/>
    <oleObject progId="Equation.3" shapeId="528721" r:id="rId8"/>
    <oleObject progId="Equation.3" shapeId="528722" r:id="rId9"/>
    <oleObject progId="Equation.3" shapeId="528723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9">
      <selection activeCell="B41" sqref="B41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1.7109375" style="0" customWidth="1"/>
    <col min="4" max="4" width="7.7109375" style="0" customWidth="1"/>
    <col min="5" max="5" width="9.28125" style="0" bestFit="1" customWidth="1"/>
    <col min="6" max="6" width="9.57421875" style="0" customWidth="1"/>
    <col min="7" max="7" width="8.7109375" style="0" customWidth="1"/>
    <col min="8" max="8" width="10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3"/>
      <c r="G4" s="3"/>
      <c r="H4" s="3"/>
    </row>
    <row r="5" spans="1:8" ht="13.5" thickBot="1">
      <c r="A5" s="62"/>
      <c r="B5" s="62"/>
      <c r="C5" s="62"/>
      <c r="D5" s="62"/>
      <c r="E5" s="62"/>
      <c r="F5" s="62"/>
      <c r="G5" s="62"/>
      <c r="H5" s="62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8">
      <c r="A7" s="4" t="s">
        <v>42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63">
        <v>0.35</v>
      </c>
      <c r="D10" s="2" t="s">
        <v>6</v>
      </c>
      <c r="E10" s="1">
        <f>C10-(0.025+0.02/2)</f>
        <v>0.31499999999999995</v>
      </c>
      <c r="F10" s="1" t="s">
        <v>0</v>
      </c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5"/>
      <c r="B14" s="5"/>
      <c r="C14" s="64">
        <v>0.2</v>
      </c>
      <c r="D14" s="5"/>
      <c r="E14" s="5"/>
      <c r="F14" s="5"/>
      <c r="G14" s="5"/>
      <c r="H14" s="5"/>
    </row>
    <row r="15" spans="1:8" ht="12.75">
      <c r="A15" s="1" t="s">
        <v>1</v>
      </c>
      <c r="B15" s="1"/>
      <c r="C15" s="6">
        <v>36</v>
      </c>
      <c r="D15" s="6" t="s">
        <v>4</v>
      </c>
      <c r="E15" s="1"/>
      <c r="F15" s="1"/>
      <c r="G15" s="1"/>
      <c r="H15" s="1"/>
    </row>
    <row r="16" spans="1:8" ht="12.75">
      <c r="A16" s="1" t="s">
        <v>2</v>
      </c>
      <c r="B16" s="1"/>
      <c r="C16" s="6">
        <v>23</v>
      </c>
      <c r="D16" s="6" t="s">
        <v>4</v>
      </c>
      <c r="E16" s="1"/>
      <c r="F16" s="1"/>
      <c r="G16" s="1"/>
      <c r="H16" s="1"/>
    </row>
    <row r="17" spans="1:8" ht="12.75">
      <c r="A17" s="1" t="s">
        <v>3</v>
      </c>
      <c r="B17" s="1"/>
      <c r="C17" s="6">
        <v>53.64</v>
      </c>
      <c r="D17" s="6" t="s">
        <v>5</v>
      </c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" t="s">
        <v>7</v>
      </c>
      <c r="B19" s="1"/>
      <c r="C19" s="1"/>
      <c r="D19" s="1"/>
      <c r="E19" s="1"/>
      <c r="F19" s="1"/>
      <c r="G19" s="1"/>
      <c r="H19" s="1"/>
    </row>
    <row r="20" spans="1:8" ht="13.5" thickBot="1">
      <c r="A20" s="7"/>
      <c r="B20" s="1"/>
      <c r="C20" s="1"/>
      <c r="D20" s="1"/>
      <c r="E20" s="1"/>
      <c r="F20" s="1"/>
      <c r="G20" s="1"/>
      <c r="H20" s="1"/>
    </row>
    <row r="21" spans="1:8" ht="13.5" thickBot="1">
      <c r="A21" s="35" t="s">
        <v>8</v>
      </c>
      <c r="B21" s="36"/>
      <c r="C21" s="37"/>
      <c r="D21" s="37"/>
      <c r="E21" s="38"/>
      <c r="F21" s="39"/>
      <c r="G21" s="36" t="s">
        <v>20</v>
      </c>
      <c r="H21" s="38"/>
    </row>
    <row r="22" spans="1:8" ht="12.75">
      <c r="A22" s="40" t="s">
        <v>9</v>
      </c>
      <c r="B22" s="41">
        <v>20000</v>
      </c>
      <c r="C22" s="42" t="s">
        <v>10</v>
      </c>
      <c r="D22" s="43" t="s">
        <v>11</v>
      </c>
      <c r="E22" s="44"/>
      <c r="F22" s="56" t="s">
        <v>21</v>
      </c>
      <c r="G22" s="41">
        <v>300000</v>
      </c>
      <c r="H22" s="44" t="s">
        <v>10</v>
      </c>
    </row>
    <row r="23" spans="1:8" ht="12.75">
      <c r="A23" s="45" t="s">
        <v>12</v>
      </c>
      <c r="B23" s="46">
        <v>1500</v>
      </c>
      <c r="C23" s="47" t="s">
        <v>10</v>
      </c>
      <c r="D23" s="48" t="s">
        <v>13</v>
      </c>
      <c r="E23" s="49"/>
      <c r="F23" s="57" t="s">
        <v>27</v>
      </c>
      <c r="G23" s="48">
        <v>1.15</v>
      </c>
      <c r="H23" s="49"/>
    </row>
    <row r="24" spans="1:8" ht="12.75">
      <c r="A24" s="45" t="s">
        <v>14</v>
      </c>
      <c r="B24" s="48">
        <v>1.5</v>
      </c>
      <c r="C24" s="47"/>
      <c r="D24" s="48" t="s">
        <v>15</v>
      </c>
      <c r="E24" s="49"/>
      <c r="F24" s="57" t="s">
        <v>22</v>
      </c>
      <c r="G24" s="46">
        <f>G22/G23</f>
        <v>260869.56521739133</v>
      </c>
      <c r="H24" s="49" t="s">
        <v>10</v>
      </c>
    </row>
    <row r="25" spans="1:8" ht="12.75">
      <c r="A25" s="45" t="s">
        <v>16</v>
      </c>
      <c r="B25" s="65">
        <f>B22*0.85/B24</f>
        <v>11333.333333333334</v>
      </c>
      <c r="C25" s="47" t="s">
        <v>10</v>
      </c>
      <c r="D25" s="48"/>
      <c r="E25" s="49"/>
      <c r="F25" s="57" t="s">
        <v>23</v>
      </c>
      <c r="G25" s="46">
        <v>200000</v>
      </c>
      <c r="H25" s="49" t="s">
        <v>10</v>
      </c>
    </row>
    <row r="26" spans="1:8" ht="12.75">
      <c r="A26" s="45" t="s">
        <v>17</v>
      </c>
      <c r="B26" s="50">
        <f>B23/B24</f>
        <v>1000</v>
      </c>
      <c r="C26" s="47" t="s">
        <v>10</v>
      </c>
      <c r="D26" s="48"/>
      <c r="E26" s="49"/>
      <c r="F26" s="58" t="s">
        <v>43</v>
      </c>
      <c r="G26" s="47">
        <f>0.6/300</f>
        <v>0.002</v>
      </c>
      <c r="H26" s="59"/>
    </row>
    <row r="27" spans="1:8" ht="13.5" thickBot="1">
      <c r="A27" s="51" t="s">
        <v>18</v>
      </c>
      <c r="B27" s="52">
        <v>29000</v>
      </c>
      <c r="C27" s="53" t="s">
        <v>10</v>
      </c>
      <c r="D27" s="54" t="s">
        <v>19</v>
      </c>
      <c r="E27" s="55"/>
      <c r="F27" s="60" t="s">
        <v>44</v>
      </c>
      <c r="G27" s="53">
        <v>0.0165</v>
      </c>
      <c r="H27" s="61"/>
    </row>
    <row r="28" spans="1:8" ht="12.75">
      <c r="A28" s="1"/>
      <c r="B28" s="1"/>
      <c r="C28" s="8"/>
      <c r="D28" s="8"/>
      <c r="E28" s="1"/>
      <c r="F28" s="8"/>
      <c r="G28" s="8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7" t="s">
        <v>50</v>
      </c>
      <c r="B33" s="1"/>
      <c r="C33" s="1"/>
      <c r="D33" s="7" t="s">
        <v>29</v>
      </c>
      <c r="E33" s="1"/>
      <c r="F33" s="1"/>
      <c r="G33" s="1"/>
      <c r="H33" s="1"/>
    </row>
    <row r="34" spans="1:8" ht="12.75">
      <c r="A34" s="9" t="s">
        <v>24</v>
      </c>
      <c r="B34" s="10">
        <f>$G$24/$B$25</f>
        <v>23.017902813299234</v>
      </c>
      <c r="C34" s="1"/>
      <c r="D34" s="9" t="s">
        <v>24</v>
      </c>
      <c r="E34" s="10">
        <f>$G$24/$B$25</f>
        <v>23.017902813299234</v>
      </c>
      <c r="F34" s="1"/>
      <c r="G34" s="1"/>
      <c r="H34" s="1"/>
    </row>
    <row r="35" spans="1:8" ht="12.75">
      <c r="A35" s="9" t="s">
        <v>25</v>
      </c>
      <c r="B35" s="1">
        <f>C15/($C$14*$E$10^2)</f>
        <v>1814.0589569161002</v>
      </c>
      <c r="C35" s="1"/>
      <c r="D35" s="9" t="s">
        <v>25</v>
      </c>
      <c r="E35" s="1">
        <f>C16/($C$14*$E$10^2)</f>
        <v>1158.982111363064</v>
      </c>
      <c r="F35" s="1"/>
      <c r="G35" s="1"/>
      <c r="H35" s="1"/>
    </row>
    <row r="36" spans="1:8" ht="12.75">
      <c r="A36" s="11" t="s">
        <v>26</v>
      </c>
      <c r="B36" s="12">
        <f>(1/B34)*(1-(SQRT(1-(2*B34*B35/G24))))</f>
        <v>0.007622611078523471</v>
      </c>
      <c r="C36" s="13">
        <f>IF(B36&gt;0.0165,"Dbl!!","")</f>
      </c>
      <c r="D36" s="11" t="s">
        <v>37</v>
      </c>
      <c r="E36" s="14">
        <f>(1/E34)*(1-(SQRT(1-(2*E34*E35/G24))))</f>
        <v>0.004696633416261811</v>
      </c>
      <c r="F36" s="13">
        <f>IF(E36&gt;0.0165,"Dbl!!","")</f>
      </c>
      <c r="G36" s="1"/>
      <c r="H36" s="1"/>
    </row>
    <row r="37" spans="1:8" ht="12.75">
      <c r="A37" s="15" t="s">
        <v>28</v>
      </c>
      <c r="B37" s="16">
        <f>IF(B36&lt;$G$27,B36*$C$14*$E$10,IF(B36&lt;$G$26,G26*$C$14*$E$10,$G$27*$C$14*$E$10))</f>
        <v>0.00048022449794697864</v>
      </c>
      <c r="C37" s="17"/>
      <c r="D37" s="15" t="s">
        <v>28</v>
      </c>
      <c r="E37" s="16">
        <f>IF(E36&gt;$G$26,E36*$C$14*$E$10,G26*$C$14*$E$10)</f>
        <v>0.00029588790522449404</v>
      </c>
      <c r="F37" s="1"/>
      <c r="G37" s="1"/>
      <c r="H37" s="1"/>
    </row>
    <row r="38" spans="1:8" ht="12.75">
      <c r="A38" s="18" t="s">
        <v>34</v>
      </c>
      <c r="B38" s="19">
        <v>14</v>
      </c>
      <c r="C38" s="17"/>
      <c r="D38" s="18" t="s">
        <v>34</v>
      </c>
      <c r="E38" s="19">
        <v>14</v>
      </c>
      <c r="F38" s="1"/>
      <c r="G38" s="1"/>
      <c r="H38" s="1"/>
    </row>
    <row r="39" spans="1:8" ht="12.75">
      <c r="A39" s="20" t="s">
        <v>35</v>
      </c>
      <c r="B39" s="21">
        <v>2</v>
      </c>
      <c r="C39" s="17"/>
      <c r="D39" s="20" t="s">
        <v>35</v>
      </c>
      <c r="E39" s="21">
        <v>2</v>
      </c>
      <c r="F39" s="1"/>
      <c r="G39" s="1"/>
      <c r="H39" s="1"/>
    </row>
    <row r="40" spans="1:8" ht="12.75">
      <c r="A40" s="18" t="s">
        <v>34</v>
      </c>
      <c r="B40" s="21">
        <v>12</v>
      </c>
      <c r="C40" s="17"/>
      <c r="D40" s="18" t="s">
        <v>34</v>
      </c>
      <c r="E40" s="21">
        <v>12</v>
      </c>
      <c r="F40" s="1"/>
      <c r="G40" s="1"/>
      <c r="H40" s="1"/>
    </row>
    <row r="41" spans="1:8" ht="12.75">
      <c r="A41" s="20" t="s">
        <v>35</v>
      </c>
      <c r="B41" s="21">
        <f>CEILING((B37-B39*(PI()*(B38/2000)^2))/(PI()*(B40/2000)^2),1)</f>
        <v>2</v>
      </c>
      <c r="C41" s="19"/>
      <c r="D41" s="20" t="s">
        <v>35</v>
      </c>
      <c r="E41" s="21" t="e">
        <f>CEILING((E37-E39*(PI()*(E38/2000)^2))/(PI()*(E40/2000)^2),1)</f>
        <v>#NUM!</v>
      </c>
      <c r="F41" s="1"/>
      <c r="G41" s="1"/>
      <c r="H41" s="1"/>
    </row>
    <row r="42" spans="1:8" ht="12.75">
      <c r="A42" s="15" t="s">
        <v>36</v>
      </c>
      <c r="B42" s="1">
        <f>(PI()*(B38/2000)^2)*B39+(PI()*(B40/2000)^2)*B41</f>
        <v>0.0005340707511102649</v>
      </c>
      <c r="C42" s="1"/>
      <c r="D42" s="15" t="s">
        <v>36</v>
      </c>
      <c r="E42" s="22" t="e">
        <f>(PI()*(E38/2000)^2)*E39+(PI()*(E40/2000)^2)*E41</f>
        <v>#NUM!</v>
      </c>
      <c r="F42" s="1"/>
      <c r="G42" s="1"/>
      <c r="H42" s="1"/>
    </row>
    <row r="43" spans="1:8" ht="12.75">
      <c r="A43" s="15" t="s">
        <v>38</v>
      </c>
      <c r="B43" s="23">
        <f>B42*$G$24*($E$10-(($B$42*$G$24)/($B$25*$C$14))/2)</f>
        <v>39.604879661083565</v>
      </c>
      <c r="C43" s="1"/>
      <c r="D43" s="15" t="s">
        <v>38</v>
      </c>
      <c r="E43" s="23" t="e">
        <f>E42*$G$24*($E$10-((E42*$G$24)/($B$25*$C$14))/2)</f>
        <v>#NUM!</v>
      </c>
      <c r="F43" s="1"/>
      <c r="G43" s="1"/>
      <c r="H43" s="1"/>
    </row>
    <row r="44" spans="1:8" ht="12.75">
      <c r="A44" s="15" t="s">
        <v>39</v>
      </c>
      <c r="B44" s="24">
        <f>(B43-C15)/C15</f>
        <v>0.10013554614121015</v>
      </c>
      <c r="C44" s="1"/>
      <c r="D44" s="15" t="s">
        <v>39</v>
      </c>
      <c r="E44" s="24" t="e">
        <f>(E43-C16)/C16</f>
        <v>#NUM!</v>
      </c>
      <c r="F44" s="1"/>
      <c r="G44" s="1"/>
      <c r="H44" s="1"/>
    </row>
    <row r="45" spans="1:8" ht="12.75">
      <c r="A45" s="20"/>
      <c r="B45" s="24"/>
      <c r="C45" s="1"/>
      <c r="D45" s="20"/>
      <c r="E45" s="24"/>
      <c r="F45" s="1"/>
      <c r="G45" s="1"/>
      <c r="H45" s="1"/>
    </row>
    <row r="46" spans="1:8" ht="12.75">
      <c r="A46" s="7" t="s">
        <v>30</v>
      </c>
      <c r="B46" s="1"/>
      <c r="C46" s="1"/>
      <c r="D46" s="7" t="s">
        <v>31</v>
      </c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8.75">
      <c r="A48" s="1"/>
      <c r="B48" s="1"/>
      <c r="C48" s="1"/>
      <c r="D48" s="1"/>
      <c r="E48" s="1"/>
      <c r="F48" s="25" t="s">
        <v>45</v>
      </c>
      <c r="G48" s="26">
        <f>IF(C17&lt;B52,0,(C17-B52))</f>
        <v>24.822738560291373</v>
      </c>
      <c r="H48" s="1"/>
    </row>
    <row r="49" spans="1:8" ht="18.75">
      <c r="A49" s="27" t="s">
        <v>46</v>
      </c>
      <c r="B49" s="28">
        <f>1+50*(B42/(C14*E10))</f>
        <v>1.4238656754843373</v>
      </c>
      <c r="C49" s="1"/>
      <c r="D49" s="1"/>
      <c r="E49" s="1"/>
      <c r="F49" s="1"/>
      <c r="G49" s="1"/>
      <c r="H49" s="1"/>
    </row>
    <row r="50" spans="1:8" ht="18.75">
      <c r="A50" s="27" t="s">
        <v>47</v>
      </c>
      <c r="B50" s="28">
        <f>1.6-E10</f>
        <v>1.2850000000000001</v>
      </c>
      <c r="C50" s="1"/>
      <c r="D50" s="1" t="s">
        <v>41</v>
      </c>
      <c r="E50" s="29">
        <v>8</v>
      </c>
      <c r="F50" s="25" t="s">
        <v>48</v>
      </c>
      <c r="G50" s="1">
        <f>(PI()*(E50/2000)^2)*2</f>
        <v>0.00010053096491487337</v>
      </c>
      <c r="H50" s="1"/>
    </row>
    <row r="51" spans="1:8" ht="15.75">
      <c r="A51" s="1"/>
      <c r="B51" s="1"/>
      <c r="C51" s="1"/>
      <c r="D51" s="30" t="s">
        <v>32</v>
      </c>
      <c r="E51" s="31">
        <f>IF(G48=0,0.2,(G50*E10*G24)/G48)</f>
        <v>0.33280061944119343</v>
      </c>
      <c r="F51" s="3" t="s">
        <v>0</v>
      </c>
      <c r="G51" s="1"/>
      <c r="H51" s="31"/>
    </row>
    <row r="52" spans="1:8" ht="19.5" thickBot="1">
      <c r="A52" s="25" t="s">
        <v>49</v>
      </c>
      <c r="B52" s="32">
        <f>0.25*B26*B49*B50*C14*E10</f>
        <v>28.817261439708627</v>
      </c>
      <c r="C52" s="6" t="s">
        <v>5</v>
      </c>
      <c r="D52" s="1" t="s">
        <v>40</v>
      </c>
      <c r="E52" s="33">
        <v>0.16</v>
      </c>
      <c r="F52" s="1" t="s">
        <v>0</v>
      </c>
      <c r="G52" s="1" t="s">
        <v>33</v>
      </c>
      <c r="H52" s="34">
        <f>ROUNDDOWN(MIN(E52,E51),2)</f>
        <v>0.16</v>
      </c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printOptions/>
  <pageMargins left="0.75" right="0.75" top="1" bottom="1" header="0.5" footer="0.5"/>
  <pageSetup horizontalDpi="600" verticalDpi="600" orientation="portrait" paperSize="9" r:id="rId13"/>
  <headerFooter alignWithMargins="0">
    <oddFooter>&amp;C&amp;7--------------------------------------------------------------------------------------------------------------------------------------------------------------------------------------------------------------
</oddFooter>
  </headerFooter>
  <drawing r:id="rId12"/>
  <legacyDrawing r:id="rId11"/>
  <oleObjects>
    <oleObject progId="Equation.3" shapeId="536252" r:id="rId1"/>
    <oleObject progId="Equation.3" shapeId="536253" r:id="rId2"/>
    <oleObject progId="Equation.3" shapeId="536254" r:id="rId3"/>
    <oleObject progId="Equation.3" shapeId="536255" r:id="rId4"/>
    <oleObject progId="Equation.3" shapeId="536256" r:id="rId5"/>
    <oleObject progId="Equation.3" shapeId="536257" r:id="rId6"/>
    <oleObject progId="Equation.3" shapeId="536258" r:id="rId7"/>
    <oleObject progId="Equation.3" shapeId="536259" r:id="rId8"/>
    <oleObject progId="Equation.3" shapeId="536260" r:id="rId9"/>
    <oleObject progId="Equation.3" shapeId="536261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Dereje Assefa</dc:creator>
  <cp:keywords/>
  <dc:description/>
  <cp:lastModifiedBy>texs</cp:lastModifiedBy>
  <cp:lastPrinted>2006-03-05T00:32:03Z</cp:lastPrinted>
  <dcterms:created xsi:type="dcterms:W3CDTF">2000-11-19T11:08:59Z</dcterms:created>
  <dcterms:modified xsi:type="dcterms:W3CDTF">2007-05-07T01:54:26Z</dcterms:modified>
  <cp:category/>
  <cp:version/>
  <cp:contentType/>
  <cp:contentStatus/>
</cp:coreProperties>
</file>