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stair case" sheetId="1" r:id="rId1"/>
  </sheets>
  <definedNames>
    <definedName name="_xlnm.Print_Titles" localSheetId="0">'stair case'!$1:$3</definedName>
  </definedNames>
  <calcPr fullCalcOnLoad="1"/>
</workbook>
</file>

<file path=xl/sharedStrings.xml><?xml version="1.0" encoding="utf-8"?>
<sst xmlns="http://schemas.openxmlformats.org/spreadsheetml/2006/main" count="160" uniqueCount="82">
  <si>
    <t xml:space="preserve">Riser = </t>
  </si>
  <si>
    <t xml:space="preserve">Thread = </t>
  </si>
  <si>
    <t>cm</t>
  </si>
  <si>
    <t xml:space="preserve">θ = </t>
  </si>
  <si>
    <t>Average slab thickness =</t>
  </si>
  <si>
    <t>m</t>
  </si>
  <si>
    <t>Loading</t>
  </si>
  <si>
    <t>Dead load at Steps:</t>
  </si>
  <si>
    <t>-</t>
  </si>
  <si>
    <t>Own wt. of slab                =</t>
  </si>
  <si>
    <t>x 25 x</t>
  </si>
  <si>
    <t xml:space="preserve">Stair width = </t>
  </si>
  <si>
    <t>KN/m</t>
  </si>
  <si>
    <t>x 23 x</t>
  </si>
  <si>
    <t>0.03           =</t>
  </si>
  <si>
    <t>θ</t>
  </si>
  <si>
    <t>º</t>
  </si>
  <si>
    <t>x 27 x</t>
  </si>
  <si>
    <r>
      <t>KN/m</t>
    </r>
    <r>
      <rPr>
        <b/>
        <vertAlign val="superscript"/>
        <sz val="10"/>
        <color indexed="12"/>
        <rFont val="Arial"/>
        <family val="2"/>
      </rPr>
      <t>2</t>
    </r>
  </si>
  <si>
    <t>[EBCS-1 Table2.10]</t>
  </si>
  <si>
    <t>1.3DL + 1.6LL</t>
  </si>
  <si>
    <t>=</t>
  </si>
  <si>
    <t>Design Load                     =</t>
  </si>
  <si>
    <t>Live load                           =</t>
  </si>
  <si>
    <t>3cm marble floor finish      =</t>
  </si>
  <si>
    <t>3cm cement screed          =</t>
  </si>
  <si>
    <t>Dead load at Landing:</t>
  </si>
  <si>
    <t>Modeling</t>
  </si>
  <si>
    <t>Design actions</t>
  </si>
  <si>
    <t>design moment     =</t>
  </si>
  <si>
    <t>design shear         =</t>
  </si>
  <si>
    <t>KN</t>
  </si>
  <si>
    <t>RZ =</t>
  </si>
  <si>
    <t xml:space="preserve">RZ = </t>
  </si>
  <si>
    <t>KNm</t>
  </si>
  <si>
    <t>Check for Deflection</t>
  </si>
  <si>
    <t xml:space="preserve">w = </t>
  </si>
  <si>
    <t xml:space="preserve">L = </t>
  </si>
  <si>
    <t xml:space="preserve">E = </t>
  </si>
  <si>
    <t xml:space="preserve">I = </t>
  </si>
  <si>
    <t>Gpa</t>
  </si>
  <si>
    <r>
      <t>m</t>
    </r>
    <r>
      <rPr>
        <vertAlign val="superscript"/>
        <sz val="10"/>
        <color indexed="12"/>
        <rFont val="Arial"/>
        <family val="2"/>
      </rPr>
      <t>4</t>
    </r>
  </si>
  <si>
    <t>mm</t>
  </si>
  <si>
    <t>According to EBCS-2 Sec. 5.2.2 The final deflection shall not exceed the value:</t>
  </si>
  <si>
    <t>fctd</t>
  </si>
  <si>
    <t>Kpa</t>
  </si>
  <si>
    <t>k1</t>
  </si>
  <si>
    <t>k2</t>
  </si>
  <si>
    <t>1.6-d</t>
  </si>
  <si>
    <t>b</t>
  </si>
  <si>
    <t>d</t>
  </si>
  <si>
    <r>
      <t>f</t>
    </r>
    <r>
      <rPr>
        <i/>
        <vertAlign val="subscript"/>
        <sz val="10"/>
        <color indexed="12"/>
        <rFont val="Times New Roman"/>
        <family val="1"/>
      </rPr>
      <t>yd</t>
    </r>
  </si>
  <si>
    <r>
      <t>f</t>
    </r>
    <r>
      <rPr>
        <i/>
        <vertAlign val="subscript"/>
        <sz val="10"/>
        <color indexed="12"/>
        <rFont val="Times New Roman"/>
        <family val="1"/>
      </rPr>
      <t>cd</t>
    </r>
  </si>
  <si>
    <r>
      <t>r</t>
    </r>
    <r>
      <rPr>
        <vertAlign val="subscript"/>
        <sz val="10"/>
        <color indexed="12"/>
        <rFont val="Times New Roman"/>
        <family val="1"/>
      </rPr>
      <t>min</t>
    </r>
  </si>
  <si>
    <t>[EBCS 2 7.2.2.2]</t>
  </si>
  <si>
    <t>Mu</t>
  </si>
  <si>
    <r>
      <t>bd</t>
    </r>
    <r>
      <rPr>
        <vertAlign val="superscript"/>
        <sz val="10"/>
        <color indexed="12"/>
        <rFont val="Arial"/>
        <family val="2"/>
      </rPr>
      <t>2</t>
    </r>
  </si>
  <si>
    <r>
      <t xml:space="preserve">Using </t>
    </r>
    <r>
      <rPr>
        <sz val="10"/>
        <color indexed="12"/>
        <rFont val="Symbol"/>
        <family val="1"/>
      </rPr>
      <t>f</t>
    </r>
  </si>
  <si>
    <t>(As  =</t>
  </si>
  <si>
    <t>)</t>
  </si>
  <si>
    <t>Use</t>
  </si>
  <si>
    <t>Bars</t>
  </si>
  <si>
    <r>
      <t xml:space="preserve">Use </t>
    </r>
    <r>
      <rPr>
        <b/>
        <sz val="12"/>
        <color indexed="12"/>
        <rFont val="Symbol"/>
        <family val="1"/>
      </rPr>
      <t>f</t>
    </r>
  </si>
  <si>
    <t>@</t>
  </si>
  <si>
    <t>(As/m =</t>
  </si>
  <si>
    <t>Check Capacity</t>
  </si>
  <si>
    <t>a    =</t>
  </si>
  <si>
    <r>
      <t>A</t>
    </r>
    <r>
      <rPr>
        <vertAlign val="subscript"/>
        <sz val="10"/>
        <color indexed="12"/>
        <rFont val="Arial"/>
        <family val="2"/>
      </rPr>
      <t>s</t>
    </r>
    <r>
      <rPr>
        <sz val="10"/>
        <color indexed="12"/>
        <rFont val="Arial"/>
        <family val="2"/>
      </rPr>
      <t>f</t>
    </r>
    <r>
      <rPr>
        <vertAlign val="subscript"/>
        <sz val="10"/>
        <color indexed="12"/>
        <rFont val="Arial"/>
        <family val="2"/>
      </rPr>
      <t>yd</t>
    </r>
  </si>
  <si>
    <r>
      <t>f</t>
    </r>
    <r>
      <rPr>
        <vertAlign val="subscript"/>
        <sz val="10"/>
        <color indexed="12"/>
        <rFont val="Arial"/>
        <family val="2"/>
      </rPr>
      <t>cd</t>
    </r>
    <r>
      <rPr>
        <sz val="10"/>
        <color indexed="12"/>
        <rFont val="Arial"/>
        <family val="2"/>
      </rPr>
      <t>b</t>
    </r>
  </si>
  <si>
    <r>
      <t>M</t>
    </r>
    <r>
      <rPr>
        <i/>
        <vertAlign val="subscript"/>
        <sz val="12"/>
        <color indexed="12"/>
        <rFont val="Times New Roman"/>
        <family val="1"/>
      </rPr>
      <t>n</t>
    </r>
  </si>
  <si>
    <t>Reserve</t>
  </si>
  <si>
    <t>Check for Shear Capacity</t>
  </si>
  <si>
    <t>Reinforcement calculation</t>
  </si>
  <si>
    <t xml:space="preserve">Calculated Shear Capacity  </t>
  </si>
  <si>
    <t xml:space="preserve">m = </t>
  </si>
  <si>
    <r>
      <t>R</t>
    </r>
    <r>
      <rPr>
        <i/>
        <vertAlign val="subscript"/>
        <sz val="10"/>
        <color indexed="12"/>
        <rFont val="Times New Roman"/>
        <family val="1"/>
      </rPr>
      <t>n</t>
    </r>
    <r>
      <rPr>
        <i/>
        <sz val="10"/>
        <color indexed="12"/>
        <rFont val="Times New Roman"/>
        <family val="1"/>
      </rPr>
      <t xml:space="preserve"> = </t>
    </r>
  </si>
  <si>
    <t>r</t>
  </si>
  <si>
    <r>
      <t>A</t>
    </r>
    <r>
      <rPr>
        <vertAlign val="subscript"/>
        <sz val="12"/>
        <color indexed="12"/>
        <rFont val="Arial"/>
        <family val="2"/>
      </rPr>
      <t>s</t>
    </r>
  </si>
  <si>
    <t>main reinforcement shall be at least equal to 0.2. Thus transverse reinforcement:</t>
  </si>
  <si>
    <t>According to EBCS-2 Sec.7.2.2.2 the ratio of the secondary reinforcement to the</t>
  </si>
  <si>
    <t xml:space="preserve">Waist = </t>
  </si>
  <si>
    <t>Stair Design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</si>
</sst>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(* #,##0_);_(* \(#,##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_(* #,##0.0000_);_(* \(#,##0.0000\);_(* &quot;-&quot;????_);_(@_)"/>
  </numFmts>
  <fonts count="23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2"/>
    </font>
    <font>
      <sz val="10"/>
      <color indexed="14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vertAlign val="superscript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"/>
      <family val="2"/>
    </font>
    <font>
      <i/>
      <sz val="10"/>
      <color indexed="12"/>
      <name val="Times New Roman"/>
      <family val="1"/>
    </font>
    <font>
      <i/>
      <vertAlign val="subscript"/>
      <sz val="10"/>
      <color indexed="12"/>
      <name val="Times New Roman"/>
      <family val="1"/>
    </font>
    <font>
      <sz val="10"/>
      <color indexed="12"/>
      <name val="Symbol"/>
      <family val="1"/>
    </font>
    <font>
      <vertAlign val="subscript"/>
      <sz val="10"/>
      <color indexed="12"/>
      <name val="Times New Roman"/>
      <family val="1"/>
    </font>
    <font>
      <b/>
      <sz val="12"/>
      <color indexed="12"/>
      <name val="Symbol"/>
      <family val="1"/>
    </font>
    <font>
      <i/>
      <sz val="12"/>
      <color indexed="12"/>
      <name val="Times New Roman"/>
      <family val="1"/>
    </font>
    <font>
      <i/>
      <vertAlign val="subscript"/>
      <sz val="12"/>
      <color indexed="12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/>
    </xf>
    <xf numFmtId="171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0" xfId="0" applyNumberFormat="1" applyFont="1" applyFill="1" applyAlignment="1">
      <alignment/>
    </xf>
    <xf numFmtId="0" fontId="11" fillId="2" borderId="0" xfId="0" applyFont="1" applyFill="1" applyAlignment="1">
      <alignment horizontal="center"/>
    </xf>
    <xf numFmtId="43" fontId="2" fillId="2" borderId="0" xfId="0" applyNumberFormat="1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0" fillId="2" borderId="2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/>
    </xf>
    <xf numFmtId="175" fontId="2" fillId="2" borderId="2" xfId="19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2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2" fillId="2" borderId="0" xfId="15" applyNumberFormat="1" applyFont="1" applyFill="1" applyAlignment="1">
      <alignment horizontal="left"/>
    </xf>
    <xf numFmtId="170" fontId="2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/>
    </xf>
    <xf numFmtId="175" fontId="2" fillId="2" borderId="0" xfId="19" applyNumberFormat="1" applyFont="1" applyFill="1" applyBorder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indent="1"/>
    </xf>
    <xf numFmtId="17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</xdr:row>
      <xdr:rowOff>47625</xdr:rowOff>
    </xdr:from>
    <xdr:to>
      <xdr:col>7</xdr:col>
      <xdr:colOff>542925</xdr:colOff>
      <xdr:row>16</xdr:row>
      <xdr:rowOff>85725</xdr:rowOff>
    </xdr:to>
    <xdr:grpSp>
      <xdr:nvGrpSpPr>
        <xdr:cNvPr id="1" name="Group 110"/>
        <xdr:cNvGrpSpPr>
          <a:grpSpLocks/>
        </xdr:cNvGrpSpPr>
      </xdr:nvGrpSpPr>
      <xdr:grpSpPr>
        <a:xfrm>
          <a:off x="542925" y="1266825"/>
          <a:ext cx="4010025" cy="1495425"/>
          <a:chOff x="57" y="163"/>
          <a:chExt cx="421" cy="157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H="1">
            <a:off x="358" y="164"/>
            <a:ext cx="120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359" y="164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332" y="181"/>
            <a:ext cx="28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333" y="180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277" y="212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22" y="243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49" y="228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305" y="196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H="1">
            <a:off x="222" y="244"/>
            <a:ext cx="28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248" y="228"/>
            <a:ext cx="28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>
            <a:off x="276" y="212"/>
            <a:ext cx="28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H="1">
            <a:off x="304" y="196"/>
            <a:ext cx="28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195" y="260"/>
            <a:ext cx="28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194" y="259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170" y="275"/>
            <a:ext cx="0" cy="17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 flipH="1">
            <a:off x="169" y="275"/>
            <a:ext cx="26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 flipH="1">
            <a:off x="58" y="291"/>
            <a:ext cx="112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 flipH="1">
            <a:off x="170" y="184"/>
            <a:ext cx="210" cy="125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380" y="183"/>
            <a:ext cx="76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 flipH="1">
            <a:off x="76" y="309"/>
            <a:ext cx="94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6"/>
          <xdr:cNvSpPr>
            <a:spLocks/>
          </xdr:cNvSpPr>
        </xdr:nvSpPr>
        <xdr:spPr>
          <a:xfrm>
            <a:off x="456" y="182"/>
            <a:ext cx="0" cy="12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7"/>
          <xdr:cNvSpPr>
            <a:spLocks/>
          </xdr:cNvSpPr>
        </xdr:nvSpPr>
        <xdr:spPr>
          <a:xfrm>
            <a:off x="457" y="193"/>
            <a:ext cx="21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 flipV="1">
            <a:off x="478" y="163"/>
            <a:ext cx="0" cy="31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76" y="308"/>
            <a:ext cx="0" cy="12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0"/>
          <xdr:cNvSpPr>
            <a:spLocks/>
          </xdr:cNvSpPr>
        </xdr:nvSpPr>
        <xdr:spPr>
          <a:xfrm flipH="1">
            <a:off x="58" y="319"/>
            <a:ext cx="18" cy="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"/>
          <xdr:cNvSpPr>
            <a:spLocks/>
          </xdr:cNvSpPr>
        </xdr:nvSpPr>
        <xdr:spPr>
          <a:xfrm flipV="1">
            <a:off x="57" y="290"/>
            <a:ext cx="0" cy="3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28575</xdr:rowOff>
    </xdr:from>
    <xdr:to>
      <xdr:col>8</xdr:col>
      <xdr:colOff>209550</xdr:colOff>
      <xdr:row>6</xdr:row>
      <xdr:rowOff>28575</xdr:rowOff>
    </xdr:to>
    <xdr:sp>
      <xdr:nvSpPr>
        <xdr:cNvPr id="28" name="Line 32"/>
        <xdr:cNvSpPr>
          <a:spLocks/>
        </xdr:cNvSpPr>
      </xdr:nvSpPr>
      <xdr:spPr>
        <a:xfrm>
          <a:off x="333375" y="1085850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123825</xdr:rowOff>
    </xdr:from>
    <xdr:to>
      <xdr:col>0</xdr:col>
      <xdr:colOff>542925</xdr:colOff>
      <xdr:row>6</xdr:row>
      <xdr:rowOff>114300</xdr:rowOff>
    </xdr:to>
    <xdr:sp>
      <xdr:nvSpPr>
        <xdr:cNvPr id="29" name="Line 34"/>
        <xdr:cNvSpPr>
          <a:spLocks/>
        </xdr:cNvSpPr>
      </xdr:nvSpPr>
      <xdr:spPr>
        <a:xfrm flipV="1">
          <a:off x="5429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5</xdr:row>
      <xdr:rowOff>152400</xdr:rowOff>
    </xdr:from>
    <xdr:to>
      <xdr:col>0</xdr:col>
      <xdr:colOff>619125</xdr:colOff>
      <xdr:row>6</xdr:row>
      <xdr:rowOff>76200</xdr:rowOff>
    </xdr:to>
    <xdr:sp>
      <xdr:nvSpPr>
        <xdr:cNvPr id="30" name="Line 35"/>
        <xdr:cNvSpPr>
          <a:spLocks/>
        </xdr:cNvSpPr>
      </xdr:nvSpPr>
      <xdr:spPr>
        <a:xfrm flipV="1">
          <a:off x="476250" y="1047750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95250</xdr:rowOff>
    </xdr:from>
    <xdr:to>
      <xdr:col>2</xdr:col>
      <xdr:colOff>371475</xdr:colOff>
      <xdr:row>6</xdr:row>
      <xdr:rowOff>104775</xdr:rowOff>
    </xdr:to>
    <xdr:sp>
      <xdr:nvSpPr>
        <xdr:cNvPr id="31" name="Line 36"/>
        <xdr:cNvSpPr>
          <a:spLocks/>
        </xdr:cNvSpPr>
      </xdr:nvSpPr>
      <xdr:spPr>
        <a:xfrm flipV="1">
          <a:off x="1514475" y="990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152400</xdr:rowOff>
    </xdr:from>
    <xdr:to>
      <xdr:col>2</xdr:col>
      <xdr:colOff>390525</xdr:colOff>
      <xdr:row>6</xdr:row>
      <xdr:rowOff>66675</xdr:rowOff>
    </xdr:to>
    <xdr:sp>
      <xdr:nvSpPr>
        <xdr:cNvPr id="32" name="Line 37"/>
        <xdr:cNvSpPr>
          <a:spLocks/>
        </xdr:cNvSpPr>
      </xdr:nvSpPr>
      <xdr:spPr>
        <a:xfrm flipV="1">
          <a:off x="1504950" y="10477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114300</xdr:rowOff>
    </xdr:from>
    <xdr:to>
      <xdr:col>6</xdr:col>
      <xdr:colOff>190500</xdr:colOff>
      <xdr:row>6</xdr:row>
      <xdr:rowOff>66675</xdr:rowOff>
    </xdr:to>
    <xdr:sp>
      <xdr:nvSpPr>
        <xdr:cNvPr id="33" name="Line 38"/>
        <xdr:cNvSpPr>
          <a:spLocks/>
        </xdr:cNvSpPr>
      </xdr:nvSpPr>
      <xdr:spPr>
        <a:xfrm flipV="1">
          <a:off x="3409950" y="1009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5</xdr:row>
      <xdr:rowOff>142875</xdr:rowOff>
    </xdr:from>
    <xdr:to>
      <xdr:col>7</xdr:col>
      <xdr:colOff>523875</xdr:colOff>
      <xdr:row>6</xdr:row>
      <xdr:rowOff>76200</xdr:rowOff>
    </xdr:to>
    <xdr:sp>
      <xdr:nvSpPr>
        <xdr:cNvPr id="34" name="Line 39"/>
        <xdr:cNvSpPr>
          <a:spLocks/>
        </xdr:cNvSpPr>
      </xdr:nvSpPr>
      <xdr:spPr>
        <a:xfrm flipV="1">
          <a:off x="4533900" y="1038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6</xdr:row>
      <xdr:rowOff>0</xdr:rowOff>
    </xdr:from>
    <xdr:to>
      <xdr:col>6</xdr:col>
      <xdr:colOff>228600</xdr:colOff>
      <xdr:row>6</xdr:row>
      <xdr:rowOff>57150</xdr:rowOff>
    </xdr:to>
    <xdr:sp>
      <xdr:nvSpPr>
        <xdr:cNvPr id="35" name="Line 40"/>
        <xdr:cNvSpPr>
          <a:spLocks/>
        </xdr:cNvSpPr>
      </xdr:nvSpPr>
      <xdr:spPr>
        <a:xfrm flipV="1">
          <a:off x="3390900" y="10572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6</xdr:row>
      <xdr:rowOff>0</xdr:rowOff>
    </xdr:from>
    <xdr:to>
      <xdr:col>7</xdr:col>
      <xdr:colOff>561975</xdr:colOff>
      <xdr:row>6</xdr:row>
      <xdr:rowOff>57150</xdr:rowOff>
    </xdr:to>
    <xdr:sp>
      <xdr:nvSpPr>
        <xdr:cNvPr id="36" name="Line 41"/>
        <xdr:cNvSpPr>
          <a:spLocks/>
        </xdr:cNvSpPr>
      </xdr:nvSpPr>
      <xdr:spPr>
        <a:xfrm flipV="1">
          <a:off x="4514850" y="10572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15</xdr:row>
      <xdr:rowOff>142875</xdr:rowOff>
    </xdr:from>
    <xdr:to>
      <xdr:col>3</xdr:col>
      <xdr:colOff>485775</xdr:colOff>
      <xdr:row>15</xdr:row>
      <xdr:rowOff>142875</xdr:rowOff>
    </xdr:to>
    <xdr:sp>
      <xdr:nvSpPr>
        <xdr:cNvPr id="37" name="Line 47"/>
        <xdr:cNvSpPr>
          <a:spLocks/>
        </xdr:cNvSpPr>
      </xdr:nvSpPr>
      <xdr:spPr>
        <a:xfrm>
          <a:off x="1600200" y="26574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66675</xdr:rowOff>
    </xdr:from>
    <xdr:to>
      <xdr:col>3</xdr:col>
      <xdr:colOff>276225</xdr:colOff>
      <xdr:row>15</xdr:row>
      <xdr:rowOff>142875</xdr:rowOff>
    </xdr:to>
    <xdr:sp>
      <xdr:nvSpPr>
        <xdr:cNvPr id="38" name="Line 49"/>
        <xdr:cNvSpPr>
          <a:spLocks/>
        </xdr:cNvSpPr>
      </xdr:nvSpPr>
      <xdr:spPr>
        <a:xfrm flipV="1">
          <a:off x="1885950" y="2581275"/>
          <a:ext cx="9525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14</xdr:row>
      <xdr:rowOff>152400</xdr:rowOff>
    </xdr:from>
    <xdr:to>
      <xdr:col>3</xdr:col>
      <xdr:colOff>276225</xdr:colOff>
      <xdr:row>15</xdr:row>
      <xdr:rowOff>66675</xdr:rowOff>
    </xdr:to>
    <xdr:sp>
      <xdr:nvSpPr>
        <xdr:cNvPr id="39" name="Line 50"/>
        <xdr:cNvSpPr>
          <a:spLocks/>
        </xdr:cNvSpPr>
      </xdr:nvSpPr>
      <xdr:spPr>
        <a:xfrm flipH="1" flipV="1">
          <a:off x="1838325" y="2505075"/>
          <a:ext cx="571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50</xdr:row>
      <xdr:rowOff>123825</xdr:rowOff>
    </xdr:from>
    <xdr:to>
      <xdr:col>7</xdr:col>
      <xdr:colOff>390525</xdr:colOff>
      <xdr:row>50</xdr:row>
      <xdr:rowOff>123825</xdr:rowOff>
    </xdr:to>
    <xdr:sp>
      <xdr:nvSpPr>
        <xdr:cNvPr id="40" name="Line 52"/>
        <xdr:cNvSpPr>
          <a:spLocks/>
        </xdr:cNvSpPr>
      </xdr:nvSpPr>
      <xdr:spPr>
        <a:xfrm>
          <a:off x="571500" y="8362950"/>
          <a:ext cx="38290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50</xdr:row>
      <xdr:rowOff>114300</xdr:rowOff>
    </xdr:from>
    <xdr:to>
      <xdr:col>0</xdr:col>
      <xdr:colOff>695325</xdr:colOff>
      <xdr:row>51</xdr:row>
      <xdr:rowOff>123825</xdr:rowOff>
    </xdr:to>
    <xdr:grpSp>
      <xdr:nvGrpSpPr>
        <xdr:cNvPr id="41" name="Group 56"/>
        <xdr:cNvGrpSpPr>
          <a:grpSpLocks/>
        </xdr:cNvGrpSpPr>
      </xdr:nvGrpSpPr>
      <xdr:grpSpPr>
        <a:xfrm>
          <a:off x="428625" y="8353425"/>
          <a:ext cx="266700" cy="171450"/>
          <a:chOff x="94" y="890"/>
          <a:chExt cx="28" cy="18"/>
        </a:xfrm>
        <a:solidFill>
          <a:srgbClr val="FFFFFF"/>
        </a:solidFill>
      </xdr:grpSpPr>
      <xdr:sp>
        <xdr:nvSpPr>
          <xdr:cNvPr id="42" name="Line 53"/>
          <xdr:cNvSpPr>
            <a:spLocks/>
          </xdr:cNvSpPr>
        </xdr:nvSpPr>
        <xdr:spPr>
          <a:xfrm flipH="1">
            <a:off x="94" y="890"/>
            <a:ext cx="15" cy="17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4"/>
          <xdr:cNvSpPr>
            <a:spLocks/>
          </xdr:cNvSpPr>
        </xdr:nvSpPr>
        <xdr:spPr>
          <a:xfrm>
            <a:off x="108" y="890"/>
            <a:ext cx="14" cy="18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5"/>
          <xdr:cNvSpPr>
            <a:spLocks/>
          </xdr:cNvSpPr>
        </xdr:nvSpPr>
        <xdr:spPr>
          <a:xfrm>
            <a:off x="94" y="907"/>
            <a:ext cx="28" cy="0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50</xdr:row>
      <xdr:rowOff>123825</xdr:rowOff>
    </xdr:from>
    <xdr:to>
      <xdr:col>7</xdr:col>
      <xdr:colOff>504825</xdr:colOff>
      <xdr:row>51</xdr:row>
      <xdr:rowOff>133350</xdr:rowOff>
    </xdr:to>
    <xdr:grpSp>
      <xdr:nvGrpSpPr>
        <xdr:cNvPr id="45" name="Group 57"/>
        <xdr:cNvGrpSpPr>
          <a:grpSpLocks/>
        </xdr:cNvGrpSpPr>
      </xdr:nvGrpSpPr>
      <xdr:grpSpPr>
        <a:xfrm>
          <a:off x="4248150" y="8362950"/>
          <a:ext cx="266700" cy="171450"/>
          <a:chOff x="94" y="890"/>
          <a:chExt cx="28" cy="18"/>
        </a:xfrm>
        <a:solidFill>
          <a:srgbClr val="FFFFFF"/>
        </a:solidFill>
      </xdr:grpSpPr>
      <xdr:sp>
        <xdr:nvSpPr>
          <xdr:cNvPr id="46" name="Line 58"/>
          <xdr:cNvSpPr>
            <a:spLocks/>
          </xdr:cNvSpPr>
        </xdr:nvSpPr>
        <xdr:spPr>
          <a:xfrm flipH="1">
            <a:off x="94" y="890"/>
            <a:ext cx="15" cy="17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9"/>
          <xdr:cNvSpPr>
            <a:spLocks/>
          </xdr:cNvSpPr>
        </xdr:nvSpPr>
        <xdr:spPr>
          <a:xfrm>
            <a:off x="108" y="890"/>
            <a:ext cx="14" cy="18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0"/>
          <xdr:cNvSpPr>
            <a:spLocks/>
          </xdr:cNvSpPr>
        </xdr:nvSpPr>
        <xdr:spPr>
          <a:xfrm>
            <a:off x="94" y="907"/>
            <a:ext cx="28" cy="0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352425</xdr:colOff>
      <xdr:row>53</xdr:row>
      <xdr:rowOff>28575</xdr:rowOff>
    </xdr:from>
    <xdr:to>
      <xdr:col>7</xdr:col>
      <xdr:colOff>552450</xdr:colOff>
      <xdr:row>53</xdr:row>
      <xdr:rowOff>28575</xdr:rowOff>
    </xdr:to>
    <xdr:sp>
      <xdr:nvSpPr>
        <xdr:cNvPr id="49" name="Line 66"/>
        <xdr:cNvSpPr>
          <a:spLocks/>
        </xdr:cNvSpPr>
      </xdr:nvSpPr>
      <xdr:spPr>
        <a:xfrm>
          <a:off x="352425" y="87534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52</xdr:row>
      <xdr:rowOff>104775</xdr:rowOff>
    </xdr:from>
    <xdr:to>
      <xdr:col>0</xdr:col>
      <xdr:colOff>609600</xdr:colOff>
      <xdr:row>53</xdr:row>
      <xdr:rowOff>95250</xdr:rowOff>
    </xdr:to>
    <xdr:grpSp>
      <xdr:nvGrpSpPr>
        <xdr:cNvPr id="50" name="Group 69"/>
        <xdr:cNvGrpSpPr>
          <a:grpSpLocks/>
        </xdr:cNvGrpSpPr>
      </xdr:nvGrpSpPr>
      <xdr:grpSpPr>
        <a:xfrm>
          <a:off x="495300" y="8667750"/>
          <a:ext cx="114300" cy="152400"/>
          <a:chOff x="52" y="923"/>
          <a:chExt cx="12" cy="16"/>
        </a:xfrm>
        <a:solidFill>
          <a:srgbClr val="FFFFFF"/>
        </a:solidFill>
      </xdr:grpSpPr>
      <xdr:sp>
        <xdr:nvSpPr>
          <xdr:cNvPr id="51" name="Line 67"/>
          <xdr:cNvSpPr>
            <a:spLocks/>
          </xdr:cNvSpPr>
        </xdr:nvSpPr>
        <xdr:spPr>
          <a:xfrm>
            <a:off x="57" y="923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8"/>
          <xdr:cNvSpPr>
            <a:spLocks/>
          </xdr:cNvSpPr>
        </xdr:nvSpPr>
        <xdr:spPr>
          <a:xfrm flipV="1">
            <a:off x="52" y="929"/>
            <a:ext cx="12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52</xdr:row>
      <xdr:rowOff>104775</xdr:rowOff>
    </xdr:from>
    <xdr:to>
      <xdr:col>7</xdr:col>
      <xdr:colOff>457200</xdr:colOff>
      <xdr:row>53</xdr:row>
      <xdr:rowOff>95250</xdr:rowOff>
    </xdr:to>
    <xdr:grpSp>
      <xdr:nvGrpSpPr>
        <xdr:cNvPr id="53" name="Group 70"/>
        <xdr:cNvGrpSpPr>
          <a:grpSpLocks/>
        </xdr:cNvGrpSpPr>
      </xdr:nvGrpSpPr>
      <xdr:grpSpPr>
        <a:xfrm>
          <a:off x="4352925" y="8667750"/>
          <a:ext cx="114300" cy="152400"/>
          <a:chOff x="52" y="923"/>
          <a:chExt cx="12" cy="16"/>
        </a:xfrm>
        <a:solidFill>
          <a:srgbClr val="FFFFFF"/>
        </a:solidFill>
      </xdr:grpSpPr>
      <xdr:sp>
        <xdr:nvSpPr>
          <xdr:cNvPr id="54" name="Line 71"/>
          <xdr:cNvSpPr>
            <a:spLocks/>
          </xdr:cNvSpPr>
        </xdr:nvSpPr>
        <xdr:spPr>
          <a:xfrm>
            <a:off x="57" y="923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2"/>
          <xdr:cNvSpPr>
            <a:spLocks/>
          </xdr:cNvSpPr>
        </xdr:nvSpPr>
        <xdr:spPr>
          <a:xfrm flipV="1">
            <a:off x="52" y="929"/>
            <a:ext cx="12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52</xdr:row>
      <xdr:rowOff>104775</xdr:rowOff>
    </xdr:from>
    <xdr:to>
      <xdr:col>2</xdr:col>
      <xdr:colOff>247650</xdr:colOff>
      <xdr:row>53</xdr:row>
      <xdr:rowOff>95250</xdr:rowOff>
    </xdr:to>
    <xdr:grpSp>
      <xdr:nvGrpSpPr>
        <xdr:cNvPr id="56" name="Group 73"/>
        <xdr:cNvGrpSpPr>
          <a:grpSpLocks/>
        </xdr:cNvGrpSpPr>
      </xdr:nvGrpSpPr>
      <xdr:grpSpPr>
        <a:xfrm>
          <a:off x="1276350" y="8667750"/>
          <a:ext cx="114300" cy="152400"/>
          <a:chOff x="52" y="923"/>
          <a:chExt cx="12" cy="16"/>
        </a:xfrm>
        <a:solidFill>
          <a:srgbClr val="FFFFFF"/>
        </a:solidFill>
      </xdr:grpSpPr>
      <xdr:sp>
        <xdr:nvSpPr>
          <xdr:cNvPr id="57" name="Line 74"/>
          <xdr:cNvSpPr>
            <a:spLocks/>
          </xdr:cNvSpPr>
        </xdr:nvSpPr>
        <xdr:spPr>
          <a:xfrm>
            <a:off x="57" y="923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75"/>
          <xdr:cNvSpPr>
            <a:spLocks/>
          </xdr:cNvSpPr>
        </xdr:nvSpPr>
        <xdr:spPr>
          <a:xfrm flipV="1">
            <a:off x="52" y="929"/>
            <a:ext cx="12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52</xdr:row>
      <xdr:rowOff>104775</xdr:rowOff>
    </xdr:from>
    <xdr:to>
      <xdr:col>6</xdr:col>
      <xdr:colOff>304800</xdr:colOff>
      <xdr:row>53</xdr:row>
      <xdr:rowOff>95250</xdr:rowOff>
    </xdr:to>
    <xdr:grpSp>
      <xdr:nvGrpSpPr>
        <xdr:cNvPr id="59" name="Group 76"/>
        <xdr:cNvGrpSpPr>
          <a:grpSpLocks/>
        </xdr:cNvGrpSpPr>
      </xdr:nvGrpSpPr>
      <xdr:grpSpPr>
        <a:xfrm>
          <a:off x="3409950" y="8667750"/>
          <a:ext cx="114300" cy="152400"/>
          <a:chOff x="52" y="923"/>
          <a:chExt cx="12" cy="16"/>
        </a:xfrm>
        <a:solidFill>
          <a:srgbClr val="FFFFFF"/>
        </a:solidFill>
      </xdr:grpSpPr>
      <xdr:sp>
        <xdr:nvSpPr>
          <xdr:cNvPr id="60" name="Line 77"/>
          <xdr:cNvSpPr>
            <a:spLocks/>
          </xdr:cNvSpPr>
        </xdr:nvSpPr>
        <xdr:spPr>
          <a:xfrm>
            <a:off x="57" y="923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78"/>
          <xdr:cNvSpPr>
            <a:spLocks/>
          </xdr:cNvSpPr>
        </xdr:nvSpPr>
        <xdr:spPr>
          <a:xfrm flipV="1">
            <a:off x="52" y="929"/>
            <a:ext cx="12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561975</xdr:colOff>
      <xdr:row>48</xdr:row>
      <xdr:rowOff>38100</xdr:rowOff>
    </xdr:from>
    <xdr:to>
      <xdr:col>7</xdr:col>
      <xdr:colOff>371475</xdr:colOff>
      <xdr:row>50</xdr:row>
      <xdr:rowOff>114300</xdr:rowOff>
    </xdr:to>
    <xdr:grpSp>
      <xdr:nvGrpSpPr>
        <xdr:cNvPr id="62" name="Group 97"/>
        <xdr:cNvGrpSpPr>
          <a:grpSpLocks/>
        </xdr:cNvGrpSpPr>
      </xdr:nvGrpSpPr>
      <xdr:grpSpPr>
        <a:xfrm>
          <a:off x="561975" y="7953375"/>
          <a:ext cx="3819525" cy="400050"/>
          <a:chOff x="59" y="865"/>
          <a:chExt cx="401" cy="42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 flipH="1">
            <a:off x="84" y="883"/>
            <a:ext cx="0" cy="2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H="1">
            <a:off x="138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H="1">
            <a:off x="111" y="883"/>
            <a:ext cx="0" cy="2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80"/>
          <xdr:cNvSpPr>
            <a:spLocks/>
          </xdr:cNvSpPr>
        </xdr:nvSpPr>
        <xdr:spPr>
          <a:xfrm flipH="1">
            <a:off x="393" y="882"/>
            <a:ext cx="0" cy="2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82"/>
          <xdr:cNvSpPr>
            <a:spLocks/>
          </xdr:cNvSpPr>
        </xdr:nvSpPr>
        <xdr:spPr>
          <a:xfrm flipH="1">
            <a:off x="424" y="882"/>
            <a:ext cx="0" cy="2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83"/>
          <xdr:cNvSpPr>
            <a:spLocks/>
          </xdr:cNvSpPr>
        </xdr:nvSpPr>
        <xdr:spPr>
          <a:xfrm flipH="1">
            <a:off x="59" y="883"/>
            <a:ext cx="0" cy="2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84"/>
          <xdr:cNvSpPr>
            <a:spLocks/>
          </xdr:cNvSpPr>
        </xdr:nvSpPr>
        <xdr:spPr>
          <a:xfrm flipH="1">
            <a:off x="460" y="883"/>
            <a:ext cx="0" cy="2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85"/>
          <xdr:cNvSpPr>
            <a:spLocks/>
          </xdr:cNvSpPr>
        </xdr:nvSpPr>
        <xdr:spPr>
          <a:xfrm flipH="1">
            <a:off x="363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6"/>
          <xdr:cNvSpPr>
            <a:spLocks/>
          </xdr:cNvSpPr>
        </xdr:nvSpPr>
        <xdr:spPr>
          <a:xfrm flipH="1">
            <a:off x="363" y="882"/>
            <a:ext cx="9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7"/>
          <xdr:cNvSpPr>
            <a:spLocks/>
          </xdr:cNvSpPr>
        </xdr:nvSpPr>
        <xdr:spPr>
          <a:xfrm>
            <a:off x="59" y="882"/>
            <a:ext cx="79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8"/>
          <xdr:cNvSpPr>
            <a:spLocks/>
          </xdr:cNvSpPr>
        </xdr:nvSpPr>
        <xdr:spPr>
          <a:xfrm>
            <a:off x="138" y="865"/>
            <a:ext cx="225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89"/>
          <xdr:cNvSpPr>
            <a:spLocks/>
          </xdr:cNvSpPr>
        </xdr:nvSpPr>
        <xdr:spPr>
          <a:xfrm flipH="1">
            <a:off x="235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90"/>
          <xdr:cNvSpPr>
            <a:spLocks/>
          </xdr:cNvSpPr>
        </xdr:nvSpPr>
        <xdr:spPr>
          <a:xfrm flipH="1">
            <a:off x="269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91"/>
          <xdr:cNvSpPr>
            <a:spLocks/>
          </xdr:cNvSpPr>
        </xdr:nvSpPr>
        <xdr:spPr>
          <a:xfrm flipH="1">
            <a:off x="172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93"/>
          <xdr:cNvSpPr>
            <a:spLocks/>
          </xdr:cNvSpPr>
        </xdr:nvSpPr>
        <xdr:spPr>
          <a:xfrm flipH="1">
            <a:off x="204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94"/>
          <xdr:cNvSpPr>
            <a:spLocks/>
          </xdr:cNvSpPr>
        </xdr:nvSpPr>
        <xdr:spPr>
          <a:xfrm flipH="1">
            <a:off x="332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96"/>
          <xdr:cNvSpPr>
            <a:spLocks/>
          </xdr:cNvSpPr>
        </xdr:nvSpPr>
        <xdr:spPr>
          <a:xfrm flipH="1">
            <a:off x="302" y="865"/>
            <a:ext cx="0" cy="4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workbookViewId="0" topLeftCell="A1">
      <selection activeCell="H102" sqref="H102"/>
    </sheetView>
  </sheetViews>
  <sheetFormatPr defaultColWidth="9.140625" defaultRowHeight="12.75"/>
  <cols>
    <col min="1" max="1" width="11.57421875" style="0" customWidth="1"/>
    <col min="2" max="2" width="5.57421875" style="0" customWidth="1"/>
    <col min="3" max="3" width="7.140625" style="0" customWidth="1"/>
    <col min="4" max="4" width="11.421875" style="0" customWidth="1"/>
    <col min="5" max="5" width="6.8515625" style="0" customWidth="1"/>
    <col min="6" max="6" width="5.7109375" style="0" customWidth="1"/>
    <col min="7" max="7" width="11.8515625" style="0" customWidth="1"/>
    <col min="8" max="8" width="9.00390625" style="0" customWidth="1"/>
    <col min="9" max="9" width="11.28125" style="0" customWidth="1"/>
  </cols>
  <sheetData>
    <row r="1" spans="1:10" ht="12.75">
      <c r="A1" s="1"/>
      <c r="B1" s="3"/>
      <c r="C1" s="2"/>
      <c r="D1" s="80"/>
      <c r="E1" s="80"/>
      <c r="F1" s="78"/>
      <c r="G1" s="78"/>
      <c r="H1" s="2"/>
      <c r="I1" s="81"/>
      <c r="J1" s="82"/>
    </row>
    <row r="2" spans="1:10" ht="15.75">
      <c r="A2" s="83" t="s">
        <v>81</v>
      </c>
      <c r="B2" s="3"/>
      <c r="C2" s="78"/>
      <c r="D2" s="76"/>
      <c r="E2" s="77"/>
      <c r="F2" s="78"/>
      <c r="G2" s="78"/>
      <c r="H2" s="2"/>
      <c r="I2" s="79"/>
      <c r="J2" s="82"/>
    </row>
    <row r="3" spans="1:9" ht="13.5" thickBot="1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0"/>
      <c r="B5" s="41"/>
      <c r="C5" s="3"/>
      <c r="D5" s="3"/>
      <c r="E5" s="3"/>
      <c r="F5" s="3"/>
      <c r="G5" s="3"/>
      <c r="H5" s="3"/>
      <c r="I5" s="3"/>
    </row>
    <row r="6" spans="1:25" ht="12.75">
      <c r="A6" s="6"/>
      <c r="B6" s="32">
        <v>1</v>
      </c>
      <c r="C6" s="23" t="s">
        <v>5</v>
      </c>
      <c r="D6" s="32">
        <v>1.7</v>
      </c>
      <c r="E6" s="15" t="s">
        <v>5</v>
      </c>
      <c r="G6" s="32">
        <v>0.8</v>
      </c>
      <c r="H6" s="23" t="s">
        <v>5</v>
      </c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6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>
      <c r="A8" s="6"/>
      <c r="B8" s="6"/>
      <c r="C8" s="6"/>
      <c r="D8" s="6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1"/>
      <c r="B9" s="1"/>
      <c r="C9" s="1"/>
      <c r="D9" s="6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1"/>
      <c r="B10" s="1"/>
      <c r="C10" s="1"/>
      <c r="D10" s="6"/>
      <c r="E10" s="6"/>
      <c r="F10" s="6"/>
      <c r="G10" s="6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1"/>
      <c r="B11" s="1"/>
      <c r="C11" s="1"/>
      <c r="D11" s="6"/>
      <c r="E11" s="6"/>
      <c r="F11" s="6"/>
      <c r="G11" s="6"/>
      <c r="H11" s="6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1"/>
      <c r="B12" s="1"/>
      <c r="C12" s="1"/>
      <c r="D12" s="6"/>
      <c r="E12" s="6"/>
      <c r="F12" s="6"/>
      <c r="G12" s="19" t="s">
        <v>0</v>
      </c>
      <c r="H12" s="7">
        <v>16.5</v>
      </c>
      <c r="I12" s="15" t="s">
        <v>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1"/>
      <c r="B13" s="1"/>
      <c r="C13" s="1"/>
      <c r="D13" s="6"/>
      <c r="E13" s="6"/>
      <c r="F13" s="6"/>
      <c r="G13" s="21" t="s">
        <v>1</v>
      </c>
      <c r="H13" s="22">
        <v>30</v>
      </c>
      <c r="I13" s="23" t="s">
        <v>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6"/>
      <c r="B14" s="6"/>
      <c r="C14" s="6"/>
      <c r="D14" s="6"/>
      <c r="E14" s="7"/>
      <c r="F14" s="6"/>
      <c r="G14" s="19" t="s">
        <v>80</v>
      </c>
      <c r="H14" s="7">
        <v>16</v>
      </c>
      <c r="I14" s="15" t="s">
        <v>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13"/>
      <c r="B15" s="13"/>
      <c r="C15" s="24"/>
      <c r="D15" s="24"/>
      <c r="E15" s="24"/>
      <c r="F15" s="1"/>
      <c r="G15" s="19" t="s">
        <v>3</v>
      </c>
      <c r="H15" s="34">
        <f>(ATAN(H12/H13))*180/PI()</f>
        <v>28.81079374297307</v>
      </c>
      <c r="I15" s="5" t="s">
        <v>16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13"/>
      <c r="B16" s="13"/>
      <c r="C16" s="14"/>
      <c r="D16" s="7" t="s">
        <v>15</v>
      </c>
      <c r="E16" s="13"/>
      <c r="F16" s="13"/>
      <c r="G16" s="21" t="s">
        <v>11</v>
      </c>
      <c r="H16" s="31">
        <v>0.9</v>
      </c>
      <c r="I16" s="6" t="s">
        <v>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6"/>
      <c r="B17" s="6"/>
      <c r="C17" s="7"/>
      <c r="D17" s="6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7"/>
      <c r="B18" s="7"/>
      <c r="C18" s="7"/>
      <c r="D18" s="11"/>
      <c r="E18" s="11"/>
      <c r="F18" s="12"/>
      <c r="G18" s="11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74" t="s">
        <v>6</v>
      </c>
      <c r="B19" s="7"/>
      <c r="C19" s="1"/>
      <c r="D19" s="1"/>
      <c r="E19" s="1"/>
      <c r="F19" s="12"/>
      <c r="G19" s="11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>
      <c r="A20" s="15" t="s">
        <v>7</v>
      </c>
      <c r="B20" s="7"/>
      <c r="C20" s="7"/>
      <c r="D20" s="11"/>
      <c r="E20" s="11"/>
      <c r="F20" s="12"/>
      <c r="G20" s="11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15"/>
      <c r="B21" s="7"/>
      <c r="C21" s="7"/>
      <c r="D21" s="11"/>
      <c r="E21" s="11"/>
      <c r="F21" s="12"/>
      <c r="G21" s="11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2.75">
      <c r="A22" s="1"/>
      <c r="B22" s="7"/>
      <c r="C22" s="19" t="s">
        <v>4</v>
      </c>
      <c r="D22" s="11">
        <f>(H14/100)/(COS(H15*PI()/180))</f>
        <v>0.18260339536821324</v>
      </c>
      <c r="E22" s="28" t="s">
        <v>5</v>
      </c>
      <c r="F22" s="12"/>
      <c r="G22" s="11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1"/>
      <c r="B23" s="1"/>
      <c r="C23" s="1"/>
      <c r="D23" s="1"/>
      <c r="E23" s="1"/>
      <c r="F23" s="12"/>
      <c r="G23" s="11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29" t="s">
        <v>8</v>
      </c>
      <c r="B24" s="30" t="s">
        <v>9</v>
      </c>
      <c r="C24" s="6"/>
      <c r="D24" s="6"/>
      <c r="E24" s="32">
        <f>H16</f>
        <v>0.9</v>
      </c>
      <c r="F24" s="15" t="s">
        <v>10</v>
      </c>
      <c r="G24" s="28">
        <f>D22</f>
        <v>0.18260339536821324</v>
      </c>
      <c r="H24" s="17">
        <f>D22*25*H16</f>
        <v>4.108576395784798</v>
      </c>
      <c r="I24" s="6" t="s">
        <v>12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19" t="s">
        <v>8</v>
      </c>
      <c r="B25" s="6" t="s">
        <v>25</v>
      </c>
      <c r="C25" s="6"/>
      <c r="D25" s="6"/>
      <c r="E25" s="33">
        <f>H16</f>
        <v>0.9</v>
      </c>
      <c r="F25" s="6" t="s">
        <v>13</v>
      </c>
      <c r="G25" s="15" t="s">
        <v>14</v>
      </c>
      <c r="H25" s="7">
        <f>0.03*H16*23</f>
        <v>0.621</v>
      </c>
      <c r="I25" s="6" t="s">
        <v>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3.5" thickBot="1">
      <c r="A26" s="19" t="s">
        <v>8</v>
      </c>
      <c r="B26" s="6" t="s">
        <v>24</v>
      </c>
      <c r="C26" s="6"/>
      <c r="D26" s="6"/>
      <c r="E26" s="35">
        <f>H16</f>
        <v>0.9</v>
      </c>
      <c r="F26" s="6" t="s">
        <v>17</v>
      </c>
      <c r="G26" s="15" t="s">
        <v>14</v>
      </c>
      <c r="H26" s="36">
        <f>H16*27*0.03</f>
        <v>0.729</v>
      </c>
      <c r="I26" s="6" t="s">
        <v>12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7"/>
      <c r="B27" s="7"/>
      <c r="C27" s="7"/>
      <c r="D27" s="7"/>
      <c r="E27" s="7"/>
      <c r="F27" s="7"/>
      <c r="G27" s="7"/>
      <c r="H27" s="37">
        <f>SUM(H24:H26)</f>
        <v>5.458576395784799</v>
      </c>
      <c r="I27" s="8" t="s">
        <v>12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7"/>
      <c r="B28" s="7"/>
      <c r="C28" s="7"/>
      <c r="D28" s="7"/>
      <c r="E28" s="7"/>
      <c r="F28" s="7"/>
      <c r="G28" s="7"/>
      <c r="H28" s="7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>
      <c r="A29" s="38" t="s">
        <v>8</v>
      </c>
      <c r="B29" s="6" t="s">
        <v>23</v>
      </c>
      <c r="E29" s="37">
        <v>4</v>
      </c>
      <c r="F29" s="9" t="s">
        <v>18</v>
      </c>
      <c r="G29" s="7"/>
      <c r="H29" s="7"/>
      <c r="I29" s="39" t="s">
        <v>19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7"/>
      <c r="B30" s="7"/>
      <c r="C30" s="7"/>
      <c r="D30" s="7"/>
      <c r="E30" s="7"/>
      <c r="F30" s="7"/>
      <c r="G30" s="7"/>
      <c r="H30" s="7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7"/>
      <c r="B31" s="7"/>
      <c r="C31" s="7"/>
      <c r="D31" s="7"/>
      <c r="E31" s="7"/>
      <c r="F31" s="7"/>
      <c r="G31" s="7"/>
      <c r="H31" s="7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12.75">
      <c r="B32" s="15" t="s">
        <v>22</v>
      </c>
      <c r="C32" s="7"/>
      <c r="D32" s="7"/>
      <c r="E32" s="15" t="s">
        <v>20</v>
      </c>
      <c r="F32" s="7"/>
      <c r="G32" s="7"/>
      <c r="H32" s="7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7"/>
      <c r="B33" s="7"/>
      <c r="C33" s="7"/>
      <c r="D33" s="19" t="s">
        <v>21</v>
      </c>
      <c r="E33" s="37">
        <f>1.3*H27+1.6*E29</f>
        <v>13.496149314520238</v>
      </c>
      <c r="F33" s="8" t="s">
        <v>12</v>
      </c>
      <c r="G33" s="7"/>
      <c r="H33" s="7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6"/>
      <c r="B34" s="6"/>
      <c r="C34" s="6"/>
      <c r="D34" s="6"/>
      <c r="E34" s="6"/>
      <c r="F34" s="6"/>
      <c r="G34" s="6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15" t="s">
        <v>26</v>
      </c>
      <c r="B35" s="6"/>
      <c r="C35" s="6"/>
      <c r="D35" s="6"/>
      <c r="E35" s="6"/>
      <c r="F35" s="6"/>
      <c r="G35" s="6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29" t="s">
        <v>8</v>
      </c>
      <c r="B36" s="30" t="s">
        <v>9</v>
      </c>
      <c r="C36" s="6"/>
      <c r="D36" s="6"/>
      <c r="E36" s="32">
        <f>$H$16</f>
        <v>0.9</v>
      </c>
      <c r="F36" s="15" t="s">
        <v>10</v>
      </c>
      <c r="G36" s="18">
        <f>H14/100</f>
        <v>0.16</v>
      </c>
      <c r="H36" s="17">
        <f>E36*25*G36</f>
        <v>3.6</v>
      </c>
      <c r="I36" s="6" t="s">
        <v>12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19" t="s">
        <v>8</v>
      </c>
      <c r="B37" s="6" t="s">
        <v>25</v>
      </c>
      <c r="C37" s="6"/>
      <c r="D37" s="6"/>
      <c r="E37" s="32">
        <f>$H$16</f>
        <v>0.9</v>
      </c>
      <c r="F37" s="6" t="s">
        <v>13</v>
      </c>
      <c r="G37" s="15" t="s">
        <v>14</v>
      </c>
      <c r="H37" s="7">
        <f>E37*23*0.03</f>
        <v>0.621</v>
      </c>
      <c r="I37" s="6" t="s">
        <v>12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3.5" thickBot="1">
      <c r="A38" s="19" t="s">
        <v>8</v>
      </c>
      <c r="B38" s="6" t="s">
        <v>24</v>
      </c>
      <c r="C38" s="6"/>
      <c r="D38" s="6"/>
      <c r="E38" s="32">
        <f>$H$16</f>
        <v>0.9</v>
      </c>
      <c r="F38" s="6" t="s">
        <v>17</v>
      </c>
      <c r="G38" s="15" t="s">
        <v>14</v>
      </c>
      <c r="H38" s="36">
        <f>E38*27*0.03</f>
        <v>0.729</v>
      </c>
      <c r="I38" s="6" t="s">
        <v>12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7"/>
      <c r="B39" s="7"/>
      <c r="C39" s="7"/>
      <c r="D39" s="7"/>
      <c r="E39" s="7"/>
      <c r="F39" s="7"/>
      <c r="G39" s="7"/>
      <c r="H39" s="37">
        <f>SUM(H36:H38)</f>
        <v>4.95</v>
      </c>
      <c r="I39" s="8" t="s">
        <v>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7"/>
      <c r="B40" s="7"/>
      <c r="C40" s="7"/>
      <c r="D40" s="11"/>
      <c r="E40" s="6"/>
      <c r="F40" s="7"/>
      <c r="G40" s="7"/>
      <c r="H40" s="7"/>
      <c r="I40" s="1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>
      <c r="A41" s="38" t="s">
        <v>8</v>
      </c>
      <c r="B41" s="6" t="s">
        <v>23</v>
      </c>
      <c r="E41" s="37">
        <v>4</v>
      </c>
      <c r="F41" s="9" t="s">
        <v>18</v>
      </c>
      <c r="G41" s="7"/>
      <c r="H41" s="7"/>
      <c r="I41" s="39" t="s">
        <v>19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12.75">
      <c r="B44" s="15" t="s">
        <v>22</v>
      </c>
      <c r="C44" s="7"/>
      <c r="D44" s="7"/>
      <c r="E44" s="15" t="s">
        <v>20</v>
      </c>
      <c r="F44" s="7"/>
      <c r="G44" s="7"/>
      <c r="H44" s="7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7"/>
      <c r="B45" s="7"/>
      <c r="C45" s="7"/>
      <c r="D45" s="19" t="s">
        <v>21</v>
      </c>
      <c r="E45" s="37">
        <f>1.3*H39+1.6*E41</f>
        <v>12.835</v>
      </c>
      <c r="F45" s="8" t="s">
        <v>12</v>
      </c>
      <c r="G45" s="7"/>
      <c r="H45" s="7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6"/>
      <c r="B46" s="6"/>
      <c r="C46" s="6"/>
      <c r="D46" s="6"/>
      <c r="E46" s="6"/>
      <c r="F46" s="6"/>
      <c r="G46" s="6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6"/>
      <c r="B47" s="6"/>
      <c r="C47" s="6"/>
      <c r="D47" s="6"/>
      <c r="E47" s="6"/>
      <c r="F47" s="6"/>
      <c r="G47" s="6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75" t="s">
        <v>27</v>
      </c>
      <c r="B48" s="6"/>
      <c r="C48" s="6"/>
      <c r="D48" s="32">
        <f>E33</f>
        <v>13.496149314520238</v>
      </c>
      <c r="E48" s="6"/>
      <c r="F48" s="6"/>
      <c r="G48" s="6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8"/>
      <c r="B49" s="17">
        <f>E45</f>
        <v>12.835</v>
      </c>
      <c r="C49" s="6"/>
      <c r="D49" s="6"/>
      <c r="E49" s="6"/>
      <c r="F49" s="6"/>
      <c r="G49" s="32">
        <f>E45</f>
        <v>12.835</v>
      </c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 t="s">
        <v>32</v>
      </c>
      <c r="B51" s="6"/>
      <c r="C51" s="6"/>
      <c r="D51" s="6"/>
      <c r="E51" s="6"/>
      <c r="F51" s="6"/>
      <c r="G51" s="6"/>
      <c r="H51" s="6"/>
      <c r="I51" s="6" t="s">
        <v>33</v>
      </c>
    </row>
    <row r="52" spans="1:9" ht="12.75">
      <c r="A52" s="28">
        <f>(B49*B53+D48*D53+G49*G53)-I52</f>
        <v>22.991113950636933</v>
      </c>
      <c r="B52" s="6"/>
      <c r="C52" s="6"/>
      <c r="D52" s="6"/>
      <c r="E52" s="6"/>
      <c r="F52" s="6"/>
      <c r="G52" s="6"/>
      <c r="H52" s="6"/>
      <c r="I52" s="28">
        <f>(B49*B53*B53/2+D48*D53*(B53+D53/2)+G49*G53*(B53+D53+G53/2))/(B53+D53+G53)</f>
        <v>23.055339884047473</v>
      </c>
    </row>
    <row r="53" spans="1:9" ht="12.75">
      <c r="A53" s="6"/>
      <c r="B53" s="17">
        <f>B6</f>
        <v>1</v>
      </c>
      <c r="C53" s="6"/>
      <c r="D53" s="32">
        <f>D6</f>
        <v>1.7</v>
      </c>
      <c r="E53" s="6"/>
      <c r="F53" s="6"/>
      <c r="G53" s="32">
        <f>G6</f>
        <v>0.8</v>
      </c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75" t="s">
        <v>28</v>
      </c>
      <c r="B56" s="6"/>
      <c r="C56" s="6"/>
      <c r="D56" s="6"/>
      <c r="E56" s="6"/>
      <c r="F56" s="6"/>
      <c r="G56" s="6"/>
      <c r="H56" s="6"/>
      <c r="I56" s="6"/>
    </row>
    <row r="57" spans="1:9" ht="12.75">
      <c r="A57" s="19" t="s">
        <v>8</v>
      </c>
      <c r="B57" s="6" t="s">
        <v>29</v>
      </c>
      <c r="C57" s="6"/>
      <c r="D57" s="6"/>
      <c r="E57" s="6">
        <f>((B49+D48+G49)/3)*(B53+D53+G53)^2/8</f>
        <v>19.991055379286372</v>
      </c>
      <c r="F57" s="6" t="s">
        <v>34</v>
      </c>
      <c r="G57" s="6"/>
      <c r="H57" s="6"/>
      <c r="I57" s="6"/>
    </row>
    <row r="58" spans="1:9" ht="12.75">
      <c r="A58" s="19" t="s">
        <v>8</v>
      </c>
      <c r="B58" s="6" t="s">
        <v>30</v>
      </c>
      <c r="C58" s="6"/>
      <c r="D58" s="6"/>
      <c r="E58" s="12">
        <f>MAX(A52,I52)</f>
        <v>23.055339884047473</v>
      </c>
      <c r="F58" s="6" t="s">
        <v>31</v>
      </c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75" t="s">
        <v>35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19" t="s">
        <v>36</v>
      </c>
      <c r="E63" s="17">
        <f>MAX(H27+E29,H39+E41)</f>
        <v>9.4585763957848</v>
      </c>
      <c r="F63" s="6" t="s">
        <v>12</v>
      </c>
      <c r="G63" s="6"/>
      <c r="H63" s="6"/>
      <c r="I63" s="6"/>
    </row>
    <row r="64" spans="1:9" ht="12.75">
      <c r="A64" s="6"/>
      <c r="B64" s="6"/>
      <c r="C64" s="6"/>
      <c r="D64" s="19" t="s">
        <v>37</v>
      </c>
      <c r="E64" s="17">
        <f>B53+D53+G53</f>
        <v>3.5</v>
      </c>
      <c r="F64" s="6" t="s">
        <v>5</v>
      </c>
      <c r="G64" s="6"/>
      <c r="H64" s="6"/>
      <c r="I64" s="6"/>
    </row>
    <row r="65" spans="1:9" ht="12.75">
      <c r="A65" s="6"/>
      <c r="B65" s="6"/>
      <c r="C65" s="6"/>
      <c r="D65" s="19" t="s">
        <v>38</v>
      </c>
      <c r="E65" s="16">
        <v>29</v>
      </c>
      <c r="F65" s="6" t="s">
        <v>40</v>
      </c>
      <c r="G65" s="6"/>
      <c r="H65" s="6"/>
      <c r="I65" s="6"/>
    </row>
    <row r="66" spans="1:9" ht="14.25">
      <c r="A66" s="6"/>
      <c r="B66" s="6"/>
      <c r="C66" s="6"/>
      <c r="D66" s="19" t="s">
        <v>39</v>
      </c>
      <c r="E66" s="7">
        <f>H16*(H14/100)^3/12</f>
        <v>0.00030720000000000004</v>
      </c>
      <c r="F66" s="6" t="s">
        <v>41</v>
      </c>
      <c r="G66" s="6"/>
      <c r="H66" s="6"/>
      <c r="I66" s="6"/>
    </row>
    <row r="67" spans="1:9" ht="12.75">
      <c r="A67" s="6"/>
      <c r="B67" s="19" t="s">
        <v>21</v>
      </c>
      <c r="C67" s="7">
        <f>(5*E63*1000*E64^4/(384*E65*10^9*E66))*1000</f>
        <v>2.074519512413955</v>
      </c>
      <c r="D67" s="6" t="s">
        <v>42</v>
      </c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19" t="s">
        <v>8</v>
      </c>
      <c r="B69" s="6" t="s">
        <v>43</v>
      </c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19" t="s">
        <v>21</v>
      </c>
      <c r="D72" s="17">
        <f>(B53+D53+G53)*1000/200</f>
        <v>17.5</v>
      </c>
      <c r="E72" s="15" t="s">
        <v>42</v>
      </c>
      <c r="F72" s="8" t="str">
        <f>IF(D72&gt;C67,"OK!","Not Good!")</f>
        <v>OK!</v>
      </c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75" t="s">
        <v>71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5.75">
      <c r="A76" s="42"/>
      <c r="B76" s="30"/>
      <c r="C76" s="30"/>
      <c r="D76" s="30"/>
      <c r="E76" s="21"/>
      <c r="G76" s="20"/>
      <c r="H76" s="30"/>
      <c r="I76" s="30"/>
    </row>
    <row r="77" spans="1:9" ht="15.75">
      <c r="A77" s="42"/>
      <c r="B77" s="46" t="s">
        <v>44</v>
      </c>
      <c r="C77" s="30" t="s">
        <v>21</v>
      </c>
      <c r="D77" s="22"/>
      <c r="E77" s="22"/>
      <c r="F77" s="30"/>
      <c r="G77" s="30">
        <v>1000</v>
      </c>
      <c r="H77" s="30" t="s">
        <v>45</v>
      </c>
      <c r="I77" s="30"/>
    </row>
    <row r="78" spans="1:9" ht="15.75">
      <c r="A78" s="42"/>
      <c r="B78" s="46" t="s">
        <v>46</v>
      </c>
      <c r="C78" s="30" t="s">
        <v>21</v>
      </c>
      <c r="D78" s="30"/>
      <c r="E78" s="30"/>
      <c r="F78" s="30" t="s">
        <v>21</v>
      </c>
      <c r="G78" s="47">
        <f>1+50*G87</f>
        <v>1.0625</v>
      </c>
      <c r="H78" s="30"/>
      <c r="I78" s="30"/>
    </row>
    <row r="79" spans="1:9" ht="15.75">
      <c r="A79" s="42"/>
      <c r="B79" s="46" t="s">
        <v>47</v>
      </c>
      <c r="C79" s="30" t="s">
        <v>21</v>
      </c>
      <c r="D79" s="30" t="s">
        <v>48</v>
      </c>
      <c r="E79" s="30"/>
      <c r="F79" s="30" t="s">
        <v>21</v>
      </c>
      <c r="G79" s="30">
        <f>1.6-G84</f>
        <v>1.471</v>
      </c>
      <c r="H79" s="30"/>
      <c r="I79" s="30"/>
    </row>
    <row r="80" spans="1:9" ht="15.75">
      <c r="A80" s="42"/>
      <c r="B80" s="64" t="s">
        <v>73</v>
      </c>
      <c r="C80" s="30"/>
      <c r="D80" s="30"/>
      <c r="E80" s="30"/>
      <c r="F80" s="30" t="s">
        <v>21</v>
      </c>
      <c r="G80" s="45">
        <f>0.25*G77*G78*G79*H16*G84</f>
        <v>45.3642609375</v>
      </c>
      <c r="H80" s="30"/>
      <c r="I80" s="8" t="str">
        <f>IF(G80&gt;E58,"OK!","Not Good!")</f>
        <v>OK!</v>
      </c>
    </row>
    <row r="81" spans="1:9" ht="12" customHeight="1">
      <c r="A81" s="42"/>
      <c r="B81" s="64"/>
      <c r="C81" s="30"/>
      <c r="D81" s="30"/>
      <c r="E81" s="30"/>
      <c r="F81" s="30"/>
      <c r="G81" s="45"/>
      <c r="H81" s="30"/>
      <c r="I81" s="8"/>
    </row>
    <row r="82" spans="1:9" ht="12.75">
      <c r="A82" s="75" t="s">
        <v>72</v>
      </c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22" t="s">
        <v>49</v>
      </c>
      <c r="F83" s="22" t="s">
        <v>21</v>
      </c>
      <c r="G83" s="27">
        <f>H16</f>
        <v>0.9</v>
      </c>
      <c r="H83" s="1"/>
      <c r="I83" s="30"/>
    </row>
    <row r="84" spans="1:9" ht="12.75">
      <c r="A84" s="30"/>
      <c r="B84" s="30"/>
      <c r="C84" s="30"/>
      <c r="D84" s="30"/>
      <c r="E84" s="22" t="s">
        <v>50</v>
      </c>
      <c r="F84" s="22" t="s">
        <v>21</v>
      </c>
      <c r="G84" s="23">
        <f>H14/100-0.031</f>
        <v>0.129</v>
      </c>
      <c r="H84" s="1"/>
      <c r="I84" s="30"/>
    </row>
    <row r="85" spans="1:9" ht="14.25">
      <c r="A85" s="30"/>
      <c r="B85" s="30"/>
      <c r="C85" s="30"/>
      <c r="D85" s="30"/>
      <c r="E85" s="51" t="s">
        <v>51</v>
      </c>
      <c r="F85" s="22" t="s">
        <v>21</v>
      </c>
      <c r="G85" s="48">
        <v>260870</v>
      </c>
      <c r="H85" s="1"/>
      <c r="I85" s="30"/>
    </row>
    <row r="86" spans="1:9" ht="14.25">
      <c r="A86" s="30"/>
      <c r="B86" s="30"/>
      <c r="C86" s="30"/>
      <c r="D86" s="30"/>
      <c r="E86" s="51" t="s">
        <v>52</v>
      </c>
      <c r="F86" s="22" t="s">
        <v>21</v>
      </c>
      <c r="G86" s="66">
        <v>11333</v>
      </c>
      <c r="H86" s="1"/>
      <c r="I86" s="30"/>
    </row>
    <row r="87" spans="1:9" ht="14.25">
      <c r="A87" s="30"/>
      <c r="B87" s="30"/>
      <c r="C87" s="30"/>
      <c r="D87" s="30"/>
      <c r="E87" s="65" t="s">
        <v>53</v>
      </c>
      <c r="F87" s="22" t="s">
        <v>21</v>
      </c>
      <c r="G87" s="20">
        <f>0.5/400</f>
        <v>0.00125</v>
      </c>
      <c r="H87" s="1"/>
      <c r="I87" s="21" t="s">
        <v>54</v>
      </c>
    </row>
    <row r="88" spans="1:9" ht="14.25">
      <c r="A88" s="30"/>
      <c r="B88" s="30"/>
      <c r="C88" s="49"/>
      <c r="D88" s="21" t="s">
        <v>74</v>
      </c>
      <c r="E88" s="50" t="s">
        <v>51</v>
      </c>
      <c r="F88" s="22" t="s">
        <v>21</v>
      </c>
      <c r="G88" s="26">
        <f>G85/G86</f>
        <v>23.018618194652785</v>
      </c>
      <c r="H88" s="22"/>
      <c r="I88" s="30"/>
    </row>
    <row r="89" spans="1:9" ht="14.25">
      <c r="A89" s="30"/>
      <c r="B89" s="30"/>
      <c r="C89" s="30"/>
      <c r="D89" s="30"/>
      <c r="E89" s="51" t="s">
        <v>52</v>
      </c>
      <c r="F89" s="30"/>
      <c r="G89" s="30"/>
      <c r="H89" s="22"/>
      <c r="I89" s="30"/>
    </row>
    <row r="90" spans="1:9" ht="14.25">
      <c r="A90" s="30"/>
      <c r="B90" s="30"/>
      <c r="D90" s="49" t="s">
        <v>75</v>
      </c>
      <c r="E90" s="52" t="s">
        <v>55</v>
      </c>
      <c r="F90" s="22" t="s">
        <v>21</v>
      </c>
      <c r="G90" s="26">
        <f>E57/(G83*G84^2)</f>
        <v>1334.7926058988423</v>
      </c>
      <c r="H90" s="22"/>
      <c r="I90" s="53"/>
    </row>
    <row r="91" spans="1:9" ht="14.25">
      <c r="A91" s="30"/>
      <c r="B91" s="30"/>
      <c r="C91" s="30"/>
      <c r="D91" s="30"/>
      <c r="E91" s="22" t="s">
        <v>56</v>
      </c>
      <c r="F91" s="30"/>
      <c r="G91" s="49"/>
      <c r="H91" s="22"/>
      <c r="I91" s="53"/>
    </row>
    <row r="92" spans="1:9" ht="15.75">
      <c r="A92" s="30"/>
      <c r="B92" s="69" t="s">
        <v>76</v>
      </c>
      <c r="C92" s="54" t="s">
        <v>21</v>
      </c>
      <c r="D92" s="25">
        <f>MAX((1/G88)*(1-SQRT(1-((2*G88*G90)/G85))),G87)</f>
        <v>0.0054597796924824304</v>
      </c>
      <c r="E92" s="30"/>
      <c r="F92" s="30"/>
      <c r="G92" s="30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9.5">
      <c r="A95" s="30"/>
      <c r="B95" s="68" t="s">
        <v>77</v>
      </c>
      <c r="C95" s="22" t="s">
        <v>21</v>
      </c>
      <c r="D95" s="25">
        <f>D92*G83*G84</f>
        <v>0.0006338804222972102</v>
      </c>
      <c r="E95" s="30"/>
      <c r="F95" s="30"/>
      <c r="G95" s="30"/>
      <c r="H95" s="30"/>
      <c r="I95" s="30"/>
    </row>
    <row r="96" spans="1:9" ht="12.75">
      <c r="A96" s="30"/>
      <c r="B96" s="30"/>
      <c r="C96" s="30" t="s">
        <v>57</v>
      </c>
      <c r="D96" s="10">
        <v>10</v>
      </c>
      <c r="E96" s="30" t="s">
        <v>58</v>
      </c>
      <c r="F96" s="30">
        <f>PI()*((D96/1000))^2/4</f>
        <v>7.853981633974483E-05</v>
      </c>
      <c r="G96" s="30" t="s">
        <v>59</v>
      </c>
      <c r="H96" s="30"/>
      <c r="I96" s="30"/>
    </row>
    <row r="97" spans="1:9" ht="12.75">
      <c r="A97" s="30"/>
      <c r="B97" s="30"/>
      <c r="C97" s="21" t="s">
        <v>60</v>
      </c>
      <c r="D97" s="55">
        <f>D95/F96</f>
        <v>8.070816203022327</v>
      </c>
      <c r="E97" s="30" t="s">
        <v>61</v>
      </c>
      <c r="F97" s="30"/>
      <c r="G97" s="30"/>
      <c r="H97" s="30"/>
      <c r="I97" s="30"/>
    </row>
    <row r="98" spans="1:9" ht="12.75">
      <c r="A98" s="30"/>
      <c r="B98" s="30"/>
      <c r="C98" s="21"/>
      <c r="D98" s="55"/>
      <c r="E98" s="30"/>
      <c r="F98" s="30"/>
      <c r="G98" s="30"/>
      <c r="H98" s="30"/>
      <c r="I98" s="30"/>
    </row>
    <row r="99" spans="1:9" ht="16.5" thickBot="1">
      <c r="A99" s="30"/>
      <c r="B99" s="30"/>
      <c r="C99" s="56" t="s">
        <v>62</v>
      </c>
      <c r="D99" s="56">
        <f>D96</f>
        <v>10</v>
      </c>
      <c r="E99" s="56" t="s">
        <v>63</v>
      </c>
      <c r="F99" s="57">
        <f>FLOOR((F96*G83/D95)*1000,10)</f>
        <v>110</v>
      </c>
      <c r="G99" s="58" t="s">
        <v>42</v>
      </c>
      <c r="H99" s="20"/>
      <c r="I99" s="30"/>
    </row>
    <row r="100" spans="1:9" ht="12.75">
      <c r="A100" s="30"/>
      <c r="B100" s="30"/>
      <c r="C100" s="30" t="s">
        <v>64</v>
      </c>
      <c r="D100" s="67">
        <f>(F96*G83)/(F99/1000)</f>
        <v>0.0006425984973251849</v>
      </c>
      <c r="E100" s="30" t="s">
        <v>59</v>
      </c>
      <c r="F100" s="30"/>
      <c r="G100" s="30"/>
      <c r="H100" s="30"/>
      <c r="I100" s="30"/>
    </row>
    <row r="101" spans="1:9" ht="12.75">
      <c r="A101" s="30"/>
      <c r="B101" s="30"/>
      <c r="C101" s="30"/>
      <c r="D101" s="67"/>
      <c r="E101" s="30"/>
      <c r="F101" s="30"/>
      <c r="G101" s="30"/>
      <c r="H101" s="30"/>
      <c r="I101" s="30"/>
    </row>
    <row r="102" spans="1:9" ht="12.75">
      <c r="A102" s="30"/>
      <c r="B102" s="21" t="s">
        <v>65</v>
      </c>
      <c r="D102" s="30"/>
      <c r="E102" s="30"/>
      <c r="F102" s="30"/>
      <c r="G102" s="30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5.75">
      <c r="A106" s="30"/>
      <c r="B106" s="30"/>
      <c r="C106" s="30"/>
      <c r="D106" s="22"/>
      <c r="E106" s="30" t="s">
        <v>66</v>
      </c>
      <c r="F106" s="52" t="s">
        <v>67</v>
      </c>
      <c r="G106" s="22" t="s">
        <v>21</v>
      </c>
      <c r="H106" s="59">
        <f>(D100*G85)/(G86*G83)</f>
        <v>0.016435254958206708</v>
      </c>
      <c r="I106" s="30"/>
    </row>
    <row r="107" spans="1:9" ht="15.75">
      <c r="A107" s="30"/>
      <c r="B107" s="30"/>
      <c r="C107" s="30"/>
      <c r="D107" s="22"/>
      <c r="E107" s="30"/>
      <c r="F107" s="22" t="s">
        <v>68</v>
      </c>
      <c r="G107" s="30"/>
      <c r="H107" s="30"/>
      <c r="I107" s="30"/>
    </row>
    <row r="108" spans="1:9" ht="18.75">
      <c r="A108" s="30"/>
      <c r="B108" s="30"/>
      <c r="C108" s="60" t="s">
        <v>69</v>
      </c>
      <c r="D108" s="52" t="s">
        <v>21</v>
      </c>
      <c r="E108" s="61">
        <f>D100*G85*(G84-(H106/2))</f>
        <v>20.24731315902192</v>
      </c>
      <c r="F108" s="52" t="s">
        <v>21</v>
      </c>
      <c r="G108" s="62">
        <f>(E108-E57)/E57</f>
        <v>0.0128186218723134</v>
      </c>
      <c r="H108" s="63" t="s">
        <v>70</v>
      </c>
      <c r="I108" s="30"/>
    </row>
    <row r="109" spans="1:9" ht="15.75">
      <c r="A109" s="30"/>
      <c r="B109" s="30"/>
      <c r="C109" s="71"/>
      <c r="D109" s="44"/>
      <c r="E109" s="72"/>
      <c r="F109" s="44"/>
      <c r="G109" s="73"/>
      <c r="H109" s="43"/>
      <c r="I109" s="30"/>
    </row>
    <row r="110" spans="1:9" ht="15.75">
      <c r="A110" s="30"/>
      <c r="B110" s="30"/>
      <c r="C110" s="71"/>
      <c r="D110" s="44"/>
      <c r="E110" s="72"/>
      <c r="F110" s="44"/>
      <c r="G110" s="73"/>
      <c r="H110" s="43"/>
      <c r="I110" s="30"/>
    </row>
    <row r="111" spans="1:9" ht="15.75">
      <c r="A111" s="30"/>
      <c r="B111" s="30"/>
      <c r="C111" s="71"/>
      <c r="D111" s="44"/>
      <c r="E111" s="72"/>
      <c r="F111" s="44"/>
      <c r="G111" s="73"/>
      <c r="H111" s="43"/>
      <c r="I111" s="30"/>
    </row>
    <row r="112" spans="1:9" ht="15.75">
      <c r="A112" s="30"/>
      <c r="B112" s="30"/>
      <c r="C112" s="71"/>
      <c r="D112" s="44"/>
      <c r="E112" s="72"/>
      <c r="F112" s="44"/>
      <c r="G112" s="73"/>
      <c r="H112" s="43"/>
      <c r="I112" s="30"/>
    </row>
    <row r="113" spans="1:9" ht="12.75">
      <c r="A113" s="70" t="s">
        <v>8</v>
      </c>
      <c r="B113" s="43" t="s">
        <v>79</v>
      </c>
      <c r="C113" s="43"/>
      <c r="D113" s="43"/>
      <c r="E113" s="44"/>
      <c r="F113" s="43"/>
      <c r="G113" s="43"/>
      <c r="H113" s="43"/>
      <c r="I113" s="43"/>
    </row>
    <row r="114" spans="1:9" ht="12.75">
      <c r="A114" s="43"/>
      <c r="B114" s="43" t="s">
        <v>78</v>
      </c>
      <c r="C114" s="43"/>
      <c r="D114" s="43"/>
      <c r="E114" s="44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4"/>
      <c r="F115" s="43"/>
      <c r="G115" s="43"/>
      <c r="H115" s="43"/>
      <c r="I115" s="43"/>
    </row>
    <row r="116" spans="1:9" ht="19.5">
      <c r="A116" s="43"/>
      <c r="B116" s="68" t="s">
        <v>77</v>
      </c>
      <c r="C116" s="22" t="s">
        <v>21</v>
      </c>
      <c r="D116" s="25">
        <f>0.2*D95</f>
        <v>0.00012677608445944204</v>
      </c>
      <c r="E116" s="30"/>
      <c r="F116" s="30"/>
      <c r="G116" s="30"/>
      <c r="H116" s="43"/>
      <c r="I116" s="43"/>
    </row>
    <row r="117" spans="1:9" ht="12.75">
      <c r="A117" s="43"/>
      <c r="B117" s="30"/>
      <c r="C117" s="30" t="s">
        <v>57</v>
      </c>
      <c r="D117" s="10">
        <v>10</v>
      </c>
      <c r="E117" s="30" t="s">
        <v>58</v>
      </c>
      <c r="F117" s="30">
        <f>PI()*((D117/1000))^2/4</f>
        <v>7.853981633974483E-05</v>
      </c>
      <c r="G117" s="30" t="s">
        <v>59</v>
      </c>
      <c r="H117" s="43"/>
      <c r="I117" s="43"/>
    </row>
    <row r="118" spans="1:9" ht="12.75">
      <c r="A118" s="43"/>
      <c r="B118" s="30"/>
      <c r="C118" s="21" t="s">
        <v>60</v>
      </c>
      <c r="D118" s="55">
        <f>D116/F117</f>
        <v>1.6141632406044653</v>
      </c>
      <c r="E118" s="30" t="s">
        <v>61</v>
      </c>
      <c r="F118" s="30"/>
      <c r="G118" s="30"/>
      <c r="H118" s="43"/>
      <c r="I118" s="43"/>
    </row>
    <row r="119" spans="1:9" ht="12.75">
      <c r="A119" s="43"/>
      <c r="B119" s="30"/>
      <c r="C119" s="21"/>
      <c r="D119" s="55"/>
      <c r="E119" s="30"/>
      <c r="F119" s="30"/>
      <c r="G119" s="30"/>
      <c r="H119" s="43"/>
      <c r="I119" s="43"/>
    </row>
    <row r="120" spans="1:9" ht="16.5" thickBot="1">
      <c r="A120" s="43"/>
      <c r="B120" s="43"/>
      <c r="C120" s="56" t="s">
        <v>62</v>
      </c>
      <c r="D120" s="56">
        <f>D117</f>
        <v>10</v>
      </c>
      <c r="E120" s="56" t="s">
        <v>63</v>
      </c>
      <c r="F120" s="57">
        <f>MIN(FLOOR((G83*1000)/(D118),50),H14*10*2,300)</f>
        <v>300</v>
      </c>
      <c r="G120" s="58" t="s">
        <v>42</v>
      </c>
      <c r="H120" s="43"/>
      <c r="I120" s="4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</sheetData>
  <printOptions/>
  <pageMargins left="0.75" right="0.75" top="0.5" bottom="0.5" header="0.5" footer="0.5"/>
  <pageSetup horizontalDpi="600" verticalDpi="600" orientation="portrait" paperSize="9" r:id="rId10"/>
  <rowBreaks count="1" manualBreakCount="1">
    <brk id="110" max="255" man="1"/>
  </rowBreaks>
  <drawing r:id="rId9"/>
  <legacyDrawing r:id="rId8"/>
  <oleObjects>
    <oleObject progId="Equation.3" shapeId="993531" r:id="rId1"/>
    <oleObject progId="Equation.3" shapeId="1047882" r:id="rId2"/>
    <oleObject progId="Equation.3" shapeId="1070573" r:id="rId3"/>
    <oleObject progId="Equation.3" shapeId="1070574" r:id="rId4"/>
    <oleObject progId="Equation.3" shapeId="1070575" r:id="rId5"/>
    <oleObject progId="Equation.3" shapeId="1070576" r:id="rId6"/>
    <oleObject progId="Equation.3" shapeId="107057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Gemechis</cp:lastModifiedBy>
  <cp:lastPrinted>2006-01-05T03:31:48Z</cp:lastPrinted>
  <dcterms:created xsi:type="dcterms:W3CDTF">2004-04-15T11:08:12Z</dcterms:created>
  <dcterms:modified xsi:type="dcterms:W3CDTF">2007-03-23T22:38:17Z</dcterms:modified>
  <cp:category/>
  <cp:version/>
  <cp:contentType/>
  <cp:contentStatus/>
</cp:coreProperties>
</file>